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mstromsvag/Downloads/"/>
    </mc:Choice>
  </mc:AlternateContent>
  <xr:revisionPtr revIDLastSave="0" documentId="13_ncr:1_{5CB36670-0D8D-2C4A-81F7-A86A8DF3B0F5}" xr6:coauthVersionLast="47" xr6:coauthVersionMax="47" xr10:uidLastSave="{00000000-0000-0000-0000-000000000000}"/>
  <workbookProtection workbookAlgorithmName="SHA-512" workbookHashValue="19o0nX4wTluBFSTkigQwgC802y0RL8l4OczA/oVvEbwMeeaq0NiszEPG7Q9gofRXWhYdJM/B8EbxFh889Y+wSA==" workbookSaltValue="Rk9DB5NwCFZhA9Nun+lerw==" workbookSpinCount="100000" lockStructure="1"/>
  <bookViews>
    <workbookView xWindow="0" yWindow="500" windowWidth="38400" windowHeight="19620" tabRatio="941" xr2:uid="{00000000-000D-0000-FFFF-FFFF00000000}"/>
  </bookViews>
  <sheets>
    <sheet name="ATF-kalkulator" sheetId="35" r:id="rId1"/>
    <sheet name="A-tabell" sheetId="43" state="hidden" r:id="rId2"/>
  </sheets>
  <definedNames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TEST0">#REF!</definedName>
    <definedName name="TESTHKEY">#REF!</definedName>
    <definedName name="TESTKEYS">#REF!</definedName>
    <definedName name="TESTVKEY">#REF!</definedName>
  </definedNames>
  <calcPr calcId="191029"/>
  <customWorkbookViews>
    <customWorkbookView name="oddgolsen - Personlig visning" guid="{9DCC3D07-E822-4FF3-9615-5585811EE597}" mergeInterval="0" personalView="1" maximized="1" windowWidth="1020" windowHeight="543" tabRatio="852" activeSheetId="10"/>
    <customWorkbookView name="Mariann Lia Bakkland - Personlig visning" guid="{0FEDB261-E531-4928-B20D-3147CDD80995}" mergeInterval="0" personalView="1" maximized="1" windowWidth="1020" windowHeight="566" activeSheetId="4"/>
    <customWorkbookView name="jevenstad - Personlig visning" guid="{C14A9851-BADC-4CF3-B0EC-E9161A1AA5F7}" mergeInterval="0" personalView="1" maximized="1" windowWidth="1010" windowHeight="591" activeSheetId="4"/>
    <customWorkbookView name="Wenche Skoglund - Personlig visning" guid="{F1CEC38C-B08C-4D8F-BAFE-13C5EAEDA2F9}" mergeInterval="0" personalView="1" maximized="1" windowWidth="1020" windowHeight="519" tabRatio="1000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3" l="1"/>
  <c r="B4" i="43"/>
  <c r="B5" i="43"/>
  <c r="B6" i="43"/>
  <c r="B7" i="43"/>
  <c r="B8" i="43"/>
  <c r="B9" i="43"/>
  <c r="B10" i="43"/>
  <c r="B11" i="43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40" i="43"/>
  <c r="B41" i="43"/>
  <c r="B42" i="43"/>
  <c r="B43" i="43"/>
  <c r="B44" i="43"/>
  <c r="B45" i="43"/>
  <c r="B46" i="43"/>
  <c r="B47" i="43"/>
  <c r="B48" i="43"/>
  <c r="B49" i="43"/>
  <c r="B50" i="43"/>
  <c r="B51" i="43"/>
  <c r="B52" i="43"/>
  <c r="B53" i="43"/>
  <c r="B54" i="43"/>
  <c r="B55" i="43"/>
  <c r="B56" i="43"/>
  <c r="B57" i="43"/>
  <c r="B58" i="43"/>
  <c r="B59" i="43"/>
  <c r="B60" i="43"/>
  <c r="B61" i="43"/>
  <c r="B62" i="43"/>
  <c r="B63" i="43"/>
  <c r="B64" i="43"/>
  <c r="B65" i="43"/>
  <c r="B66" i="43"/>
  <c r="B67" i="43"/>
  <c r="B68" i="43"/>
  <c r="B69" i="43"/>
  <c r="B70" i="43"/>
  <c r="B71" i="43"/>
  <c r="B72" i="43"/>
  <c r="B73" i="43"/>
  <c r="B74" i="43"/>
  <c r="B75" i="43"/>
  <c r="B76" i="43"/>
  <c r="B77" i="43"/>
  <c r="B78" i="43"/>
  <c r="B79" i="43"/>
  <c r="B80" i="43"/>
  <c r="B81" i="43"/>
  <c r="B82" i="43"/>
  <c r="B83" i="43"/>
  <c r="B84" i="43"/>
  <c r="B2" i="43"/>
  <c r="F3" i="43"/>
  <c r="F4" i="43"/>
  <c r="F5" i="43"/>
  <c r="F6" i="43"/>
  <c r="F7" i="43"/>
  <c r="F8" i="43"/>
  <c r="F9" i="43"/>
  <c r="F10" i="43"/>
  <c r="F11" i="43"/>
  <c r="F12" i="43"/>
  <c r="F13" i="43"/>
  <c r="F14" i="43"/>
  <c r="F15" i="43"/>
  <c r="F16" i="43"/>
  <c r="F17" i="43"/>
  <c r="F18" i="43"/>
  <c r="F19" i="43"/>
  <c r="F20" i="43"/>
  <c r="F21" i="43"/>
  <c r="F22" i="43"/>
  <c r="F23" i="43"/>
  <c r="F24" i="43"/>
  <c r="F25" i="43"/>
  <c r="F26" i="43"/>
  <c r="F27" i="43"/>
  <c r="F28" i="43"/>
  <c r="F29" i="43"/>
  <c r="F30" i="43"/>
  <c r="F31" i="43"/>
  <c r="F32" i="43"/>
  <c r="F33" i="43"/>
  <c r="F34" i="43"/>
  <c r="F35" i="43"/>
  <c r="F36" i="43"/>
  <c r="F37" i="43"/>
  <c r="F38" i="43"/>
  <c r="F39" i="43"/>
  <c r="F40" i="43"/>
  <c r="F41" i="43"/>
  <c r="F42" i="43"/>
  <c r="F43" i="43"/>
  <c r="F44" i="43"/>
  <c r="F45" i="43"/>
  <c r="F46" i="43"/>
  <c r="F47" i="43"/>
  <c r="F48" i="43"/>
  <c r="F49" i="43"/>
  <c r="F50" i="43"/>
  <c r="F51" i="43"/>
  <c r="F52" i="43"/>
  <c r="F53" i="43"/>
  <c r="F54" i="43"/>
  <c r="F55" i="43"/>
  <c r="F56" i="43"/>
  <c r="F57" i="43"/>
  <c r="F58" i="43"/>
  <c r="F59" i="43"/>
  <c r="F60" i="43"/>
  <c r="F61" i="43"/>
  <c r="F62" i="43"/>
  <c r="F63" i="43"/>
  <c r="F64" i="43"/>
  <c r="F65" i="43"/>
  <c r="F66" i="43"/>
  <c r="F67" i="43"/>
  <c r="F68" i="43"/>
  <c r="F69" i="43"/>
  <c r="F70" i="43"/>
  <c r="F71" i="43"/>
  <c r="F72" i="43"/>
  <c r="F73" i="43"/>
  <c r="F74" i="43"/>
  <c r="F75" i="43"/>
  <c r="F76" i="43"/>
  <c r="F77" i="43"/>
  <c r="F78" i="43"/>
  <c r="F79" i="43"/>
  <c r="F80" i="43"/>
  <c r="F81" i="43"/>
  <c r="F82" i="43"/>
  <c r="F83" i="43"/>
  <c r="F84" i="43"/>
  <c r="F2" i="43"/>
  <c r="J3" i="43"/>
  <c r="J4" i="43"/>
  <c r="J5" i="43"/>
  <c r="J6" i="43"/>
  <c r="J7" i="43"/>
  <c r="J8" i="43"/>
  <c r="J9" i="43"/>
  <c r="J10" i="43"/>
  <c r="J11" i="43"/>
  <c r="J12" i="43"/>
  <c r="J13" i="43"/>
  <c r="J14" i="43"/>
  <c r="J15" i="43"/>
  <c r="J16" i="43"/>
  <c r="J17" i="43"/>
  <c r="J18" i="43"/>
  <c r="J19" i="43"/>
  <c r="J20" i="43"/>
  <c r="J21" i="43"/>
  <c r="J22" i="43"/>
  <c r="J23" i="43"/>
  <c r="J24" i="43"/>
  <c r="J25" i="43"/>
  <c r="J26" i="43"/>
  <c r="J27" i="43"/>
  <c r="J28" i="43"/>
  <c r="J29" i="43"/>
  <c r="J30" i="43"/>
  <c r="J31" i="43"/>
  <c r="J32" i="43"/>
  <c r="J33" i="43"/>
  <c r="J34" i="43"/>
  <c r="J35" i="43"/>
  <c r="J36" i="43"/>
  <c r="J37" i="43"/>
  <c r="J38" i="43"/>
  <c r="J39" i="43"/>
  <c r="J40" i="43"/>
  <c r="J41" i="43"/>
  <c r="J42" i="43"/>
  <c r="J43" i="43"/>
  <c r="J44" i="43"/>
  <c r="J45" i="43"/>
  <c r="J46" i="43"/>
  <c r="J47" i="43"/>
  <c r="J48" i="43"/>
  <c r="J49" i="43"/>
  <c r="J50" i="43"/>
  <c r="J51" i="43"/>
  <c r="J52" i="43"/>
  <c r="J53" i="43"/>
  <c r="J54" i="43"/>
  <c r="J55" i="43"/>
  <c r="J56" i="43"/>
  <c r="J57" i="43"/>
  <c r="J58" i="43"/>
  <c r="J59" i="43"/>
  <c r="J60" i="43"/>
  <c r="J61" i="43"/>
  <c r="J62" i="43"/>
  <c r="J63" i="43"/>
  <c r="J64" i="43"/>
  <c r="J65" i="43"/>
  <c r="J66" i="43"/>
  <c r="J67" i="43"/>
  <c r="J68" i="43"/>
  <c r="J69" i="43"/>
  <c r="J70" i="43"/>
  <c r="J71" i="43"/>
  <c r="J72" i="43"/>
  <c r="J73" i="43"/>
  <c r="J74" i="43"/>
  <c r="J75" i="43"/>
  <c r="J76" i="43"/>
  <c r="J77" i="43"/>
  <c r="J78" i="43"/>
  <c r="J79" i="43"/>
  <c r="J80" i="43"/>
  <c r="J81" i="43"/>
  <c r="J82" i="43"/>
  <c r="J83" i="43"/>
  <c r="J84" i="43"/>
  <c r="J2" i="43"/>
  <c r="C110" i="35"/>
  <c r="E11" i="35" l="1"/>
  <c r="C106" i="35" l="1"/>
  <c r="G11" i="35"/>
  <c r="C105" i="35"/>
  <c r="H15" i="35"/>
  <c r="H16" i="35"/>
  <c r="H14" i="35"/>
  <c r="C27" i="35"/>
  <c r="I102" i="35"/>
  <c r="I101" i="35"/>
  <c r="I100" i="35"/>
  <c r="I99" i="35"/>
  <c r="I96" i="35"/>
  <c r="I95" i="35"/>
  <c r="I94" i="35"/>
  <c r="I93" i="35"/>
  <c r="I90" i="35"/>
  <c r="I89" i="35"/>
  <c r="I88" i="35"/>
  <c r="I84" i="35"/>
  <c r="I83" i="35"/>
  <c r="I82" i="35"/>
  <c r="I81" i="35"/>
  <c r="I80" i="35"/>
  <c r="I79" i="35"/>
  <c r="I78" i="35"/>
  <c r="I77" i="35"/>
  <c r="I76" i="35"/>
  <c r="I74" i="35"/>
  <c r="I72" i="35"/>
  <c r="I71" i="35"/>
  <c r="I68" i="35"/>
  <c r="I67" i="35"/>
  <c r="I66" i="35"/>
  <c r="I65" i="35"/>
  <c r="I63" i="35"/>
  <c r="I62" i="35"/>
  <c r="I60" i="35"/>
  <c r="I56" i="35"/>
  <c r="I55" i="35"/>
  <c r="I54" i="35"/>
  <c r="I53" i="35"/>
  <c r="I52" i="35"/>
  <c r="I51" i="35"/>
  <c r="I50" i="35"/>
  <c r="I49" i="35"/>
  <c r="I46" i="35"/>
  <c r="I45" i="35"/>
  <c r="I44" i="35"/>
  <c r="I43" i="35"/>
  <c r="I40" i="35"/>
  <c r="I39" i="35"/>
  <c r="I38" i="35"/>
  <c r="I35" i="35"/>
  <c r="I34" i="35"/>
  <c r="I33" i="35"/>
  <c r="I30" i="35"/>
  <c r="I29" i="35"/>
  <c r="I28" i="35"/>
  <c r="J98" i="35"/>
  <c r="I98" i="35" s="1"/>
  <c r="J97" i="35"/>
  <c r="I97" i="35" s="1"/>
  <c r="J92" i="35"/>
  <c r="I92" i="35" s="1"/>
  <c r="J91" i="35"/>
  <c r="I91" i="35" s="1"/>
  <c r="J87" i="35"/>
  <c r="I87" i="35" s="1"/>
  <c r="J75" i="35"/>
  <c r="I75" i="35" s="1"/>
  <c r="J73" i="35"/>
  <c r="I73" i="35" s="1"/>
  <c r="J64" i="35"/>
  <c r="J70" i="35" s="1"/>
  <c r="I70" i="35" s="1"/>
  <c r="J61" i="35"/>
  <c r="J69" i="35" s="1"/>
  <c r="I69" i="35" s="1"/>
  <c r="J59" i="35"/>
  <c r="I59" i="35" s="1"/>
  <c r="J48" i="35"/>
  <c r="J58" i="35" s="1"/>
  <c r="I58" i="35" s="1"/>
  <c r="J47" i="35"/>
  <c r="I47" i="35" s="1"/>
  <c r="J37" i="35"/>
  <c r="I37" i="35" s="1"/>
  <c r="J36" i="35"/>
  <c r="I36" i="35" s="1"/>
  <c r="J32" i="35"/>
  <c r="J42" i="35" s="1"/>
  <c r="I42" i="35" s="1"/>
  <c r="J31" i="35"/>
  <c r="I31" i="35" s="1"/>
  <c r="D27" i="35"/>
  <c r="E16" i="35"/>
  <c r="G16" i="35" s="1"/>
  <c r="E15" i="35"/>
  <c r="G15" i="35" s="1"/>
  <c r="E14" i="35"/>
  <c r="G14" i="35" s="1"/>
  <c r="C23" i="35"/>
  <c r="C22" i="35"/>
  <c r="C21" i="35"/>
  <c r="H21" i="35" s="1"/>
  <c r="C20" i="35"/>
  <c r="C19" i="35"/>
  <c r="H19" i="35" s="1"/>
  <c r="C18" i="35"/>
  <c r="C17" i="35"/>
  <c r="C26" i="35" s="1"/>
  <c r="E26" i="35" s="1"/>
  <c r="G26" i="35" s="1"/>
  <c r="D23" i="35"/>
  <c r="D34" i="35" s="1"/>
  <c r="D36" i="35" s="1"/>
  <c r="D22" i="35"/>
  <c r="D21" i="35"/>
  <c r="D20" i="35"/>
  <c r="D19" i="35"/>
  <c r="D100" i="35" s="1"/>
  <c r="D18" i="35"/>
  <c r="D17" i="35"/>
  <c r="C102" i="35" l="1"/>
  <c r="H102" i="35" s="1"/>
  <c r="C44" i="35"/>
  <c r="I48" i="35"/>
  <c r="J57" i="35"/>
  <c r="I57" i="35" s="1"/>
  <c r="D63" i="35"/>
  <c r="D65" i="35" s="1"/>
  <c r="I61" i="35"/>
  <c r="J86" i="35"/>
  <c r="I86" i="35" s="1"/>
  <c r="E17" i="35"/>
  <c r="G17" i="35" s="1"/>
  <c r="C25" i="35"/>
  <c r="E25" i="35" s="1"/>
  <c r="G25" i="35" s="1"/>
  <c r="E22" i="35"/>
  <c r="G22" i="35" s="1"/>
  <c r="E23" i="35"/>
  <c r="G23" i="35" s="1"/>
  <c r="C81" i="35"/>
  <c r="H81" i="35" s="1"/>
  <c r="C76" i="35"/>
  <c r="C77" i="35" s="1"/>
  <c r="H77" i="35" s="1"/>
  <c r="C100" i="35"/>
  <c r="H100" i="35" s="1"/>
  <c r="C53" i="35"/>
  <c r="H53" i="35" s="1"/>
  <c r="C72" i="35"/>
  <c r="C73" i="35" s="1"/>
  <c r="H73" i="35" s="1"/>
  <c r="C60" i="35"/>
  <c r="C61" i="35" s="1"/>
  <c r="H61" i="35" s="1"/>
  <c r="C101" i="35"/>
  <c r="H101" i="35" s="1"/>
  <c r="C78" i="35"/>
  <c r="H78" i="35" s="1"/>
  <c r="C74" i="35"/>
  <c r="C83" i="35" s="1"/>
  <c r="C86" i="35" s="1"/>
  <c r="E21" i="35"/>
  <c r="G21" i="35" s="1"/>
  <c r="I64" i="35"/>
  <c r="H22" i="35"/>
  <c r="C29" i="35"/>
  <c r="C32" i="35" s="1"/>
  <c r="C63" i="35"/>
  <c r="C65" i="35" s="1"/>
  <c r="H65" i="35" s="1"/>
  <c r="C96" i="35"/>
  <c r="C99" i="35" s="1"/>
  <c r="H99" i="35" s="1"/>
  <c r="C95" i="35"/>
  <c r="H95" i="35" s="1"/>
  <c r="J85" i="35"/>
  <c r="I85" i="35" s="1"/>
  <c r="C88" i="35"/>
  <c r="H88" i="35" s="1"/>
  <c r="D76" i="35"/>
  <c r="D84" i="35" s="1"/>
  <c r="D87" i="35" s="1"/>
  <c r="D35" i="35"/>
  <c r="D37" i="35" s="1"/>
  <c r="D72" i="35"/>
  <c r="E19" i="35"/>
  <c r="G19" i="35" s="1"/>
  <c r="D52" i="35"/>
  <c r="D29" i="35"/>
  <c r="D39" i="35" s="1"/>
  <c r="D42" i="35" s="1"/>
  <c r="E27" i="35"/>
  <c r="G27" i="35" s="1"/>
  <c r="D89" i="35"/>
  <c r="D92" i="35" s="1"/>
  <c r="D94" i="35"/>
  <c r="D97" i="35" s="1"/>
  <c r="D74" i="35"/>
  <c r="D75" i="35" s="1"/>
  <c r="D51" i="35"/>
  <c r="D30" i="35"/>
  <c r="E18" i="35"/>
  <c r="G18" i="35" s="1"/>
  <c r="E20" i="35"/>
  <c r="G20" i="35" s="1"/>
  <c r="D103" i="35"/>
  <c r="D80" i="35"/>
  <c r="C80" i="35"/>
  <c r="H20" i="35"/>
  <c r="H27" i="35"/>
  <c r="J41" i="35"/>
  <c r="I41" i="35" s="1"/>
  <c r="H26" i="35"/>
  <c r="H18" i="35"/>
  <c r="H17" i="35"/>
  <c r="C50" i="35"/>
  <c r="H23" i="35"/>
  <c r="C24" i="35"/>
  <c r="C90" i="35"/>
  <c r="H90" i="35" s="1"/>
  <c r="C89" i="35"/>
  <c r="C92" i="35" s="1"/>
  <c r="C79" i="35"/>
  <c r="D50" i="35"/>
  <c r="I32" i="35"/>
  <c r="C62" i="35"/>
  <c r="H62" i="35" s="1"/>
  <c r="C94" i="35"/>
  <c r="H94" i="35" s="1"/>
  <c r="D88" i="35"/>
  <c r="D91" i="35" s="1"/>
  <c r="C51" i="35"/>
  <c r="C35" i="35"/>
  <c r="H35" i="35" s="1"/>
  <c r="C30" i="35"/>
  <c r="D60" i="35"/>
  <c r="C46" i="35"/>
  <c r="H46" i="35" s="1"/>
  <c r="C34" i="35"/>
  <c r="C28" i="35"/>
  <c r="C52" i="35"/>
  <c r="C45" i="35"/>
  <c r="H45" i="35" s="1"/>
  <c r="D102" i="35"/>
  <c r="E102" i="35" s="1"/>
  <c r="G102" i="35" s="1"/>
  <c r="D95" i="35"/>
  <c r="D98" i="35" s="1"/>
  <c r="D62" i="35"/>
  <c r="D96" i="35"/>
  <c r="D99" i="35" s="1"/>
  <c r="D78" i="35"/>
  <c r="D53" i="35"/>
  <c r="D46" i="35"/>
  <c r="D79" i="35"/>
  <c r="C103" i="35"/>
  <c r="D81" i="35"/>
  <c r="D45" i="35"/>
  <c r="D90" i="35"/>
  <c r="D93" i="35" s="1"/>
  <c r="D101" i="35"/>
  <c r="D28" i="35"/>
  <c r="D44" i="35"/>
  <c r="D68" i="35" l="1"/>
  <c r="D71" i="35" s="1"/>
  <c r="C114" i="35"/>
  <c r="H25" i="35"/>
  <c r="E81" i="35"/>
  <c r="G81" i="35" s="1"/>
  <c r="E53" i="35"/>
  <c r="G53" i="35" s="1"/>
  <c r="C91" i="35"/>
  <c r="E91" i="35" s="1"/>
  <c r="G91" i="35" s="1"/>
  <c r="E88" i="35"/>
  <c r="G88" i="35" s="1"/>
  <c r="E100" i="35"/>
  <c r="G100" i="35" s="1"/>
  <c r="C39" i="35"/>
  <c r="H39" i="35" s="1"/>
  <c r="H76" i="35"/>
  <c r="C84" i="35"/>
  <c r="C87" i="35" s="1"/>
  <c r="H87" i="35" s="1"/>
  <c r="E76" i="35"/>
  <c r="G76" i="35" s="1"/>
  <c r="C82" i="35"/>
  <c r="E72" i="35"/>
  <c r="G72" i="35" s="1"/>
  <c r="H83" i="35"/>
  <c r="H74" i="35"/>
  <c r="C98" i="35"/>
  <c r="H98" i="35" s="1"/>
  <c r="E60" i="35"/>
  <c r="G60" i="35" s="1"/>
  <c r="C66" i="35"/>
  <c r="H66" i="35" s="1"/>
  <c r="H72" i="35"/>
  <c r="H29" i="35"/>
  <c r="H60" i="35"/>
  <c r="E101" i="35"/>
  <c r="G101" i="35" s="1"/>
  <c r="C75" i="35"/>
  <c r="E75" i="35" s="1"/>
  <c r="G75" i="35" s="1"/>
  <c r="C68" i="35"/>
  <c r="H68" i="35" s="1"/>
  <c r="C54" i="35"/>
  <c r="C47" i="35"/>
  <c r="H47" i="35" s="1"/>
  <c r="E63" i="35"/>
  <c r="G63" i="35" s="1"/>
  <c r="E78" i="35"/>
  <c r="G78" i="35" s="1"/>
  <c r="E99" i="35"/>
  <c r="G99" i="35" s="1"/>
  <c r="H96" i="35"/>
  <c r="H44" i="35"/>
  <c r="H63" i="35"/>
  <c r="E44" i="35"/>
  <c r="G44" i="35" s="1"/>
  <c r="E65" i="35"/>
  <c r="G65" i="35" s="1"/>
  <c r="D77" i="35"/>
  <c r="E77" i="35" s="1"/>
  <c r="G77" i="35" s="1"/>
  <c r="D32" i="35"/>
  <c r="E32" i="35" s="1"/>
  <c r="G32" i="35" s="1"/>
  <c r="D73" i="35"/>
  <c r="E73" i="35" s="1"/>
  <c r="G73" i="35" s="1"/>
  <c r="D82" i="35"/>
  <c r="D85" i="35" s="1"/>
  <c r="D33" i="35"/>
  <c r="D40" i="35"/>
  <c r="D43" i="35" s="1"/>
  <c r="E74" i="35"/>
  <c r="G74" i="35" s="1"/>
  <c r="D83" i="35"/>
  <c r="E95" i="35"/>
  <c r="G95" i="35" s="1"/>
  <c r="E96" i="35"/>
  <c r="G96" i="35" s="1"/>
  <c r="E29" i="35"/>
  <c r="G29" i="35" s="1"/>
  <c r="E50" i="35"/>
  <c r="G50" i="35" s="1"/>
  <c r="H50" i="35"/>
  <c r="C40" i="35"/>
  <c r="H30" i="35"/>
  <c r="E52" i="35"/>
  <c r="G52" i="35" s="1"/>
  <c r="H52" i="35"/>
  <c r="C38" i="35"/>
  <c r="H38" i="35" s="1"/>
  <c r="H28" i="35"/>
  <c r="E51" i="35"/>
  <c r="G51" i="35" s="1"/>
  <c r="H51" i="35"/>
  <c r="E80" i="35"/>
  <c r="G80" i="35" s="1"/>
  <c r="H80" i="35"/>
  <c r="E79" i="35"/>
  <c r="G79" i="35" s="1"/>
  <c r="H79" i="35"/>
  <c r="E24" i="35"/>
  <c r="G24" i="35" s="1"/>
  <c r="H24" i="35"/>
  <c r="E30" i="35"/>
  <c r="G30" i="35" s="1"/>
  <c r="C36" i="35"/>
  <c r="H34" i="35"/>
  <c r="E92" i="35"/>
  <c r="G92" i="35" s="1"/>
  <c r="H92" i="35"/>
  <c r="E89" i="35"/>
  <c r="G89" i="35" s="1"/>
  <c r="H89" i="35"/>
  <c r="H32" i="35"/>
  <c r="H86" i="35"/>
  <c r="C33" i="35"/>
  <c r="E103" i="35"/>
  <c r="G103" i="35" s="1"/>
  <c r="H103" i="35"/>
  <c r="C97" i="35"/>
  <c r="E94" i="35"/>
  <c r="G94" i="35" s="1"/>
  <c r="C64" i="35"/>
  <c r="E62" i="35"/>
  <c r="G62" i="35" s="1"/>
  <c r="C67" i="35"/>
  <c r="H67" i="35" s="1"/>
  <c r="E34" i="35"/>
  <c r="G34" i="35" s="1"/>
  <c r="C93" i="35"/>
  <c r="E90" i="35"/>
  <c r="G90" i="35" s="1"/>
  <c r="C55" i="35"/>
  <c r="H55" i="35" s="1"/>
  <c r="E45" i="35"/>
  <c r="G45" i="35" s="1"/>
  <c r="C48" i="35"/>
  <c r="E35" i="35"/>
  <c r="G35" i="35" s="1"/>
  <c r="C37" i="35"/>
  <c r="E28" i="35"/>
  <c r="G28" i="35" s="1"/>
  <c r="C31" i="35"/>
  <c r="C49" i="35"/>
  <c r="E46" i="35"/>
  <c r="G46" i="35" s="1"/>
  <c r="C56" i="35"/>
  <c r="H56" i="35" s="1"/>
  <c r="D61" i="35"/>
  <c r="E61" i="35" s="1"/>
  <c r="G61" i="35" s="1"/>
  <c r="D66" i="35"/>
  <c r="D69" i="35" s="1"/>
  <c r="D49" i="35"/>
  <c r="D56" i="35"/>
  <c r="D59" i="35" s="1"/>
  <c r="D64" i="35"/>
  <c r="D67" i="35"/>
  <c r="D70" i="35" s="1"/>
  <c r="D54" i="35"/>
  <c r="D47" i="35"/>
  <c r="D55" i="35"/>
  <c r="D58" i="35" s="1"/>
  <c r="D48" i="35"/>
  <c r="D38" i="35"/>
  <c r="D41" i="35" s="1"/>
  <c r="D31" i="35"/>
  <c r="H91" i="35" l="1"/>
  <c r="E84" i="35"/>
  <c r="G84" i="35" s="1"/>
  <c r="E82" i="35"/>
  <c r="G82" i="35" s="1"/>
  <c r="C42" i="35"/>
  <c r="H42" i="35" s="1"/>
  <c r="E39" i="35"/>
  <c r="G39" i="35" s="1"/>
  <c r="H84" i="35"/>
  <c r="E87" i="35"/>
  <c r="G87" i="35" s="1"/>
  <c r="H75" i="35"/>
  <c r="H82" i="35"/>
  <c r="C85" i="35"/>
  <c r="E85" i="35" s="1"/>
  <c r="G85" i="35" s="1"/>
  <c r="E98" i="35"/>
  <c r="G98" i="35" s="1"/>
  <c r="E68" i="35"/>
  <c r="G68" i="35" s="1"/>
  <c r="C71" i="35"/>
  <c r="E71" i="35" s="1"/>
  <c r="G71" i="35" s="1"/>
  <c r="C69" i="35"/>
  <c r="H69" i="35" s="1"/>
  <c r="E66" i="35"/>
  <c r="G66" i="35" s="1"/>
  <c r="E47" i="35"/>
  <c r="G47" i="35" s="1"/>
  <c r="C57" i="35"/>
  <c r="H57" i="35" s="1"/>
  <c r="H54" i="35"/>
  <c r="D86" i="35"/>
  <c r="E86" i="35" s="1"/>
  <c r="G86" i="35" s="1"/>
  <c r="E83" i="35"/>
  <c r="G83" i="35" s="1"/>
  <c r="E38" i="35"/>
  <c r="G38" i="35" s="1"/>
  <c r="D57" i="35"/>
  <c r="E54" i="35"/>
  <c r="G54" i="35" s="1"/>
  <c r="E37" i="35"/>
  <c r="G37" i="35" s="1"/>
  <c r="H37" i="35"/>
  <c r="E33" i="35"/>
  <c r="G33" i="35" s="1"/>
  <c r="H33" i="35"/>
  <c r="E48" i="35"/>
  <c r="G48" i="35" s="1"/>
  <c r="H48" i="35"/>
  <c r="E64" i="35"/>
  <c r="G64" i="35" s="1"/>
  <c r="H64" i="35"/>
  <c r="E40" i="35"/>
  <c r="G40" i="35" s="1"/>
  <c r="H40" i="35"/>
  <c r="C43" i="35"/>
  <c r="E97" i="35"/>
  <c r="G97" i="35" s="1"/>
  <c r="H97" i="35"/>
  <c r="E49" i="35"/>
  <c r="G49" i="35" s="1"/>
  <c r="H49" i="35"/>
  <c r="C41" i="35"/>
  <c r="E31" i="35"/>
  <c r="G31" i="35" s="1"/>
  <c r="H31" i="35"/>
  <c r="E93" i="35"/>
  <c r="G93" i="35" s="1"/>
  <c r="H93" i="35"/>
  <c r="E36" i="35"/>
  <c r="G36" i="35" s="1"/>
  <c r="H36" i="35"/>
  <c r="E67" i="35"/>
  <c r="G67" i="35" s="1"/>
  <c r="C70" i="35"/>
  <c r="C59" i="35"/>
  <c r="E56" i="35"/>
  <c r="G56" i="35" s="1"/>
  <c r="E55" i="35"/>
  <c r="G55" i="35" s="1"/>
  <c r="C58" i="35"/>
  <c r="H85" i="35" l="1"/>
  <c r="E42" i="35"/>
  <c r="G42" i="35" s="1"/>
  <c r="E69" i="35"/>
  <c r="G69" i="35" s="1"/>
  <c r="H71" i="35"/>
  <c r="E57" i="35"/>
  <c r="G57" i="35" s="1"/>
  <c r="E41" i="35"/>
  <c r="G41" i="35" s="1"/>
  <c r="H41" i="35"/>
  <c r="E70" i="35"/>
  <c r="G70" i="35" s="1"/>
  <c r="H70" i="35"/>
  <c r="E58" i="35"/>
  <c r="G58" i="35" s="1"/>
  <c r="H58" i="35"/>
  <c r="E59" i="35"/>
  <c r="G59" i="35" s="1"/>
  <c r="H59" i="35"/>
  <c r="E43" i="35"/>
  <c r="G43" i="35" s="1"/>
  <c r="H43" i="35"/>
  <c r="C108" i="35" l="1"/>
  <c r="C107" i="35"/>
  <c r="C109" i="35" l="1"/>
  <c r="C111" i="35"/>
  <c r="C112" i="3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Wenche Skoglund</author>
  </authors>
  <commentList>
    <comment ref="C27" authorId="0" shapeId="0" xr:uid="{00000000-0006-0000-1100-000001000000}">
      <text>
        <r>
          <rPr>
            <b/>
            <sz val="10"/>
            <color indexed="81"/>
            <rFont val="Tahoma"/>
            <family val="2"/>
          </rPr>
          <t xml:space="preserve">Beløpet er minimum tilsvarende lt 63
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<sst xmlns="http://schemas.openxmlformats.org/spreadsheetml/2006/main" count="122" uniqueCount="120">
  <si>
    <t>Samlet avspass</t>
  </si>
  <si>
    <t>Avspas pr døgn/time</t>
  </si>
  <si>
    <t>ORDINÆR TIMELØNN (C-tabell)</t>
  </si>
  <si>
    <t>TIMELØNN (jf A-tab)</t>
  </si>
  <si>
    <t>Adjutant HMK/HKH Kronprinsen</t>
  </si>
  <si>
    <t>Vakt pr time Ma-Fre</t>
  </si>
  <si>
    <t>Vakt pr time Lø-Sø</t>
  </si>
  <si>
    <t>Vakt pr time HH dag</t>
  </si>
  <si>
    <t>Vakt - Tid pr time Ma-Fr</t>
  </si>
  <si>
    <t>Vakt - Tid pr time Lø-Sø</t>
  </si>
  <si>
    <t>Vakt døgn IP Ma-Fr</t>
  </si>
  <si>
    <t>Vakt døgn IP Lø-Sø</t>
  </si>
  <si>
    <t>Vakt døgn IP HH dag</t>
  </si>
  <si>
    <t>Vakt pr time IP Ma-Fr</t>
  </si>
  <si>
    <t>Vakt pr time IP Lø-Sø</t>
  </si>
  <si>
    <t>Vakt pr time IP HH dag</t>
  </si>
  <si>
    <t>Øving HH dag</t>
  </si>
  <si>
    <t>Øvelse pr time Ma-Fre</t>
  </si>
  <si>
    <t>Øvelse pr time Lø-Sø</t>
  </si>
  <si>
    <t>Øvelse pr time HH dag</t>
  </si>
  <si>
    <t>Øvelse inntil 7 t Lø-Sø</t>
  </si>
  <si>
    <t>Øvelse inntil 7 t HH dag</t>
  </si>
  <si>
    <t>Øvelse døgn IP Ma-Fr</t>
  </si>
  <si>
    <t>Øvelse døgn IP Lø-Sø</t>
  </si>
  <si>
    <t>Øvelse døgn IP HH dag</t>
  </si>
  <si>
    <t>Øvelse pr time IP Ma-Fr</t>
  </si>
  <si>
    <t>Øvelse pr time IP Lø-Sø</t>
  </si>
  <si>
    <t>Øvelse pr time IP HH dag</t>
  </si>
  <si>
    <t>FA2 døgn IP Ma-Fr</t>
  </si>
  <si>
    <t>FA2 døgn IP Lø-Sø</t>
  </si>
  <si>
    <t>FA2 døgn IP HH dag</t>
  </si>
  <si>
    <t>FA2 pr time IP Ma-Fr</t>
  </si>
  <si>
    <t>FA2 pr time IP Lø-Sø</t>
  </si>
  <si>
    <t>FA2 pr time IP HH dag</t>
  </si>
  <si>
    <t>FA1 døgn IP Ma-Fr</t>
  </si>
  <si>
    <t>FA1 døgn IP Lø-Sø</t>
  </si>
  <si>
    <t>FA1 døgn IP HH dag</t>
  </si>
  <si>
    <t>FA1 pr time IP Ma-Fr</t>
  </si>
  <si>
    <t>FA1 pr time IP Lø-Sø</t>
  </si>
  <si>
    <t>FA1 pr time IP HH dag</t>
  </si>
  <si>
    <t>PK Ma-Fre</t>
  </si>
  <si>
    <t>PK Lø-Sø</t>
  </si>
  <si>
    <t>PK HH dag</t>
  </si>
  <si>
    <t>PK Ma-Fre pr time</t>
  </si>
  <si>
    <t>PK Lø-Sø pr time</t>
  </si>
  <si>
    <t>PK HH dag pr time</t>
  </si>
  <si>
    <t xml:space="preserve">FØP Ma-Fre </t>
  </si>
  <si>
    <t xml:space="preserve">FØP Lø-Sø </t>
  </si>
  <si>
    <t xml:space="preserve">FØP HH dag </t>
  </si>
  <si>
    <t>FØP Ma-Fre pr time</t>
  </si>
  <si>
    <t>FØP Lø-Sø pr time</t>
  </si>
  <si>
    <t>FØP HH dag pr time</t>
  </si>
  <si>
    <t>FØP inntil 6 timer 50 % Ma-Fre (pr time)</t>
  </si>
  <si>
    <t>FØP inntil 6 timer 100 % Ma-Fre (pr time)</t>
  </si>
  <si>
    <t>FØP inntil 6 timer Lø-Sø (pr time)</t>
  </si>
  <si>
    <t>FØP inntil 6 timer HH dag (pr time)</t>
  </si>
  <si>
    <t>Merknad</t>
  </si>
  <si>
    <t>LØRDAGSTILLEGG</t>
  </si>
  <si>
    <t>SØNDAGSTILLEGG</t>
  </si>
  <si>
    <t>AFUL</t>
  </si>
  <si>
    <t>ORE</t>
  </si>
  <si>
    <t>OREU</t>
  </si>
  <si>
    <t>Lønnstrinn</t>
  </si>
  <si>
    <t>Antall</t>
  </si>
  <si>
    <t>Totalbeløp</t>
  </si>
  <si>
    <t>OT 100 %</t>
  </si>
  <si>
    <t>Natt-tillegg 45 %</t>
  </si>
  <si>
    <t>OTA 50 %</t>
  </si>
  <si>
    <t>OTA 100 %</t>
  </si>
  <si>
    <t>LT</t>
  </si>
  <si>
    <t>Grunnlønn m/fast tillegg</t>
  </si>
  <si>
    <t>Grunnlønn u/fast tillegg</t>
  </si>
  <si>
    <t>Årslønn m/tillegg</t>
  </si>
  <si>
    <t>Økning tillegg pga fast tillegg</t>
  </si>
  <si>
    <r>
      <t xml:space="preserve">Fast </t>
    </r>
    <r>
      <rPr>
        <b/>
        <sz val="10"/>
        <color rgb="FFFF0000"/>
        <rFont val="Arial"/>
        <family val="2"/>
      </rPr>
      <t>årlig</t>
    </r>
    <r>
      <rPr>
        <b/>
        <sz val="10"/>
        <rFont val="Arial"/>
        <family val="2"/>
      </rPr>
      <t xml:space="preserve"> tillegg</t>
    </r>
  </si>
  <si>
    <t>Total effekt av et fast tillegg</t>
  </si>
  <si>
    <t>Fast tillegg</t>
  </si>
  <si>
    <t>Reelle tillegg (ltr. og fast tillegg)</t>
  </si>
  <si>
    <t>Tillegg iht. lønnstabell</t>
  </si>
  <si>
    <t>Tidbank (timer til avspasering)</t>
  </si>
  <si>
    <t>Sats iht. lønnstabell</t>
  </si>
  <si>
    <t>Reell sats (basert på ltr. og fast tillegg)</t>
  </si>
  <si>
    <t>OT 50 % / Ø-komp</t>
  </si>
  <si>
    <t>Vakt lø. og sø.</t>
  </si>
  <si>
    <t>Vakt helge-/høytidsdag</t>
  </si>
  <si>
    <t>Vakt - tid ma. til fr.</t>
  </si>
  <si>
    <t>Vakt ma. til fr.</t>
  </si>
  <si>
    <t>Vakt - tid lø. og sø.</t>
  </si>
  <si>
    <t>Øving ma. til fr.</t>
  </si>
  <si>
    <t>Øving lø. og sø.</t>
  </si>
  <si>
    <t>Øvelse inntil 7 t 50 % ma. til fr.</t>
  </si>
  <si>
    <t>Øvelse inntil 7 t 100 % ma. til fr.</t>
  </si>
  <si>
    <t>FA2 lø. og sø.</t>
  </si>
  <si>
    <t>FA2 helge-/høytidsdag</t>
  </si>
  <si>
    <t>FA2 lø. og sø. pr. time</t>
  </si>
  <si>
    <t>FA2 helge-/høytidsdag pr. time</t>
  </si>
  <si>
    <t>FA1 ma. til fr.</t>
  </si>
  <si>
    <t>FA1 lø. og sø.</t>
  </si>
  <si>
    <t>FA1 helge-/høytidsdag</t>
  </si>
  <si>
    <t>FA1 ma. til fr. pr. time</t>
  </si>
  <si>
    <t>FA1 lø. og sø. pr. time</t>
  </si>
  <si>
    <t>FA1 helge-/høytidsdag pr. time</t>
  </si>
  <si>
    <t>FA1 inntil 6 t 50 % ma. til fr.</t>
  </si>
  <si>
    <t>FA1 inntil 6 t 100 % ma. til fr.</t>
  </si>
  <si>
    <t>FA1 inntil 6 t lø. og sø.</t>
  </si>
  <si>
    <t>FA1 inntil 6 t helge-/høytidsdag</t>
  </si>
  <si>
    <t>FA2 ma.-fr.</t>
  </si>
  <si>
    <t>FA2 ma. til fr. pr.time</t>
  </si>
  <si>
    <t>Ettermiddagstillegg</t>
  </si>
  <si>
    <t>Etter 1/10-20</t>
  </si>
  <si>
    <t xml:space="preserve">     Før 1/10-20</t>
  </si>
  <si>
    <t>Etter 1/10-21</t>
  </si>
  <si>
    <t>LO 20</t>
  </si>
  <si>
    <t>LO 21</t>
  </si>
  <si>
    <t>Etter 1/5-22</t>
  </si>
  <si>
    <t>Endring 22</t>
  </si>
  <si>
    <t>Sum</t>
  </si>
  <si>
    <t>Etter 1/5-23</t>
  </si>
  <si>
    <t>Endring 1/5-23</t>
  </si>
  <si>
    <t>Ajour pr. 1/5-23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</si>
</sst>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kr&quot;\ #,##0.00"/>
    <numFmt numFmtId="165" formatCode="0.0"/>
    <numFmt numFmtId="166" formatCode="&quot;kr&quot;\ #,##0"/>
    <numFmt numFmtId="167" formatCode="0.000"/>
  </numFmts>
  <fonts count="4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MS Sans Serif"/>
      <family val="2"/>
    </font>
    <font>
      <sz val="10"/>
      <name val="CenturySchbk SW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name val="MS Sans Serif"/>
      <family val="2"/>
    </font>
    <font>
      <sz val="12"/>
      <name val="MS Sans Serif"/>
      <family val="2"/>
    </font>
    <font>
      <sz val="10"/>
      <color indexed="21"/>
      <name val="Arial"/>
      <family val="2"/>
    </font>
    <font>
      <sz val="11"/>
      <name val="CenturySchbk SWA"/>
    </font>
    <font>
      <sz val="11"/>
      <name val="Arial"/>
      <family val="2"/>
    </font>
    <font>
      <sz val="10"/>
      <color indexed="57"/>
      <name val="CenturySchbk SWA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8"/>
      <name val="MS Sans Serif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indexed="10"/>
      <name val="MS Sans Serif"/>
      <family val="2"/>
    </font>
    <font>
      <b/>
      <sz val="10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12" fillId="21" borderId="2" applyNumberFormat="0" applyAlignment="0" applyProtection="0"/>
    <xf numFmtId="0" fontId="19" fillId="0" borderId="6" applyNumberFormat="0" applyFill="0" applyAlignment="0" applyProtection="0"/>
    <xf numFmtId="0" fontId="1" fillId="22" borderId="7" applyNumberFormat="0" applyFont="0" applyAlignment="0" applyProtection="0"/>
    <xf numFmtId="0" fontId="2" fillId="22" borderId="7" applyNumberFormat="0" applyFont="0" applyAlignment="0" applyProtection="0"/>
    <xf numFmtId="0" fontId="20" fillId="23" borderId="0" applyNumberFormat="0" applyBorder="0" applyAlignment="0" applyProtection="0"/>
    <xf numFmtId="0" fontId="2" fillId="0" borderId="0"/>
    <xf numFmtId="0" fontId="37" fillId="0" borderId="0"/>
    <xf numFmtId="0" fontId="2" fillId="0" borderId="0"/>
    <xf numFmtId="0" fontId="4" fillId="22" borderId="7" applyNumberFormat="0" applyFont="0" applyAlignment="0" applyProtection="0"/>
    <xf numFmtId="0" fontId="2" fillId="22" borderId="7" applyNumberFormat="0" applyFont="0" applyAlignment="0" applyProtection="0"/>
    <xf numFmtId="0" fontId="20" fillId="23" borderId="0" applyNumberFormat="0" applyBorder="0" applyAlignment="0" applyProtection="0"/>
    <xf numFmtId="0" fontId="21" fillId="20" borderId="8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1" fillId="20" borderId="8" applyNumberFormat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59">
    <xf numFmtId="0" fontId="0" fillId="0" borderId="0" xfId="0"/>
    <xf numFmtId="0" fontId="2" fillId="0" borderId="0" xfId="48"/>
    <xf numFmtId="3" fontId="2" fillId="0" borderId="0" xfId="48" applyNumberFormat="1"/>
    <xf numFmtId="166" fontId="2" fillId="0" borderId="0" xfId="48" applyNumberFormat="1" applyAlignment="1">
      <alignment horizontal="left"/>
    </xf>
    <xf numFmtId="2" fontId="2" fillId="0" borderId="0" xfId="48" applyNumberFormat="1" applyAlignment="1">
      <alignment horizontal="center"/>
    </xf>
    <xf numFmtId="0" fontId="2" fillId="0" borderId="0" xfId="48" applyAlignment="1">
      <alignment horizontal="center"/>
    </xf>
    <xf numFmtId="0" fontId="3" fillId="0" borderId="0" xfId="48" applyFont="1"/>
    <xf numFmtId="164" fontId="7" fillId="0" borderId="10" xfId="48" applyNumberFormat="1" applyFont="1" applyBorder="1" applyAlignment="1">
      <alignment horizontal="right"/>
    </xf>
    <xf numFmtId="164" fontId="28" fillId="0" borderId="10" xfId="48" applyNumberFormat="1" applyFont="1" applyBorder="1"/>
    <xf numFmtId="164" fontId="2" fillId="0" borderId="16" xfId="48" applyNumberFormat="1" applyBorder="1"/>
    <xf numFmtId="0" fontId="29" fillId="0" borderId="0" xfId="48" applyFont="1"/>
    <xf numFmtId="164" fontId="2" fillId="0" borderId="10" xfId="48" applyNumberFormat="1" applyBorder="1"/>
    <xf numFmtId="0" fontId="2" fillId="0" borderId="10" xfId="48" applyBorder="1"/>
    <xf numFmtId="0" fontId="2" fillId="25" borderId="10" xfId="48" applyFill="1" applyBorder="1"/>
    <xf numFmtId="164" fontId="7" fillId="0" borderId="10" xfId="48" applyNumberFormat="1" applyFont="1" applyBorder="1"/>
    <xf numFmtId="164" fontId="29" fillId="0" borderId="0" xfId="48" applyNumberFormat="1" applyFont="1"/>
    <xf numFmtId="164" fontId="7" fillId="0" borderId="16" xfId="48" applyNumberFormat="1" applyFont="1" applyBorder="1"/>
    <xf numFmtId="164" fontId="28" fillId="0" borderId="16" xfId="48" applyNumberFormat="1" applyFont="1" applyBorder="1"/>
    <xf numFmtId="0" fontId="25" fillId="0" borderId="0" xfId="48" applyFont="1"/>
    <xf numFmtId="0" fontId="26" fillId="0" borderId="0" xfId="48" applyFont="1"/>
    <xf numFmtId="2" fontId="2" fillId="0" borderId="10" xfId="48" applyNumberFormat="1" applyBorder="1"/>
    <xf numFmtId="167" fontId="2" fillId="0" borderId="10" xfId="48" applyNumberFormat="1" applyBorder="1"/>
    <xf numFmtId="164" fontId="26" fillId="0" borderId="0" xfId="48" applyNumberFormat="1" applyFont="1"/>
    <xf numFmtId="164" fontId="32" fillId="0" borderId="0" xfId="0" quotePrefix="1" applyNumberFormat="1" applyFont="1" applyAlignment="1">
      <alignment horizontal="left"/>
    </xf>
    <xf numFmtId="4" fontId="2" fillId="0" borderId="10" xfId="48" applyNumberFormat="1" applyBorder="1"/>
    <xf numFmtId="164" fontId="6" fillId="0" borderId="0" xfId="48" applyNumberFormat="1" applyFont="1" applyAlignment="1">
      <alignment horizontal="center"/>
    </xf>
    <xf numFmtId="164" fontId="6" fillId="0" borderId="0" xfId="48" applyNumberFormat="1" applyFont="1"/>
    <xf numFmtId="164" fontId="7" fillId="0" borderId="28" xfId="48" applyNumberFormat="1" applyFont="1" applyBorder="1"/>
    <xf numFmtId="164" fontId="28" fillId="0" borderId="28" xfId="48" applyNumberFormat="1" applyFont="1" applyBorder="1"/>
    <xf numFmtId="164" fontId="2" fillId="0" borderId="28" xfId="48" applyNumberFormat="1" applyBorder="1"/>
    <xf numFmtId="0" fontId="2" fillId="0" borderId="28" xfId="48" applyBorder="1"/>
    <xf numFmtId="0" fontId="26" fillId="0" borderId="29" xfId="48" applyFont="1" applyBorder="1" applyAlignment="1">
      <alignment horizontal="center"/>
    </xf>
    <xf numFmtId="0" fontId="26" fillId="0" borderId="14" xfId="48" applyFont="1" applyBorder="1" applyAlignment="1">
      <alignment horizontal="center"/>
    </xf>
    <xf numFmtId="0" fontId="26" fillId="26" borderId="14" xfId="48" applyFont="1" applyFill="1" applyBorder="1" applyAlignment="1">
      <alignment horizontal="left"/>
    </xf>
    <xf numFmtId="0" fontId="30" fillId="0" borderId="12" xfId="48" applyFont="1" applyBorder="1" applyAlignment="1">
      <alignment horizontal="left"/>
    </xf>
    <xf numFmtId="164" fontId="7" fillId="0" borderId="15" xfId="48" applyNumberFormat="1" applyFont="1" applyBorder="1"/>
    <xf numFmtId="164" fontId="28" fillId="0" borderId="15" xfId="48" applyNumberFormat="1" applyFont="1" applyBorder="1"/>
    <xf numFmtId="164" fontId="2" fillId="0" borderId="15" xfId="48" applyNumberFormat="1" applyBorder="1"/>
    <xf numFmtId="0" fontId="2" fillId="0" borderId="15" xfId="48" applyBorder="1"/>
    <xf numFmtId="0" fontId="26" fillId="0" borderId="21" xfId="48" applyFont="1" applyBorder="1" applyAlignment="1">
      <alignment horizontal="center"/>
    </xf>
    <xf numFmtId="0" fontId="26" fillId="26" borderId="14" xfId="48" applyFont="1" applyFill="1" applyBorder="1" applyAlignment="1">
      <alignment horizontal="left" wrapText="1"/>
    </xf>
    <xf numFmtId="0" fontId="30" fillId="0" borderId="26" xfId="48" applyFont="1" applyBorder="1" applyAlignment="1">
      <alignment horizontal="left"/>
    </xf>
    <xf numFmtId="0" fontId="26" fillId="26" borderId="21" xfId="48" applyFont="1" applyFill="1" applyBorder="1" applyAlignment="1">
      <alignment horizontal="left" wrapText="1"/>
    </xf>
    <xf numFmtId="0" fontId="30" fillId="0" borderId="11" xfId="48" applyFont="1" applyBorder="1" applyAlignment="1">
      <alignment horizontal="left"/>
    </xf>
    <xf numFmtId="0" fontId="26" fillId="26" borderId="29" xfId="48" applyFont="1" applyFill="1" applyBorder="1" applyAlignment="1">
      <alignment horizontal="left"/>
    </xf>
    <xf numFmtId="4" fontId="26" fillId="0" borderId="14" xfId="48" applyNumberFormat="1" applyFont="1" applyBorder="1" applyAlignment="1">
      <alignment horizontal="left"/>
    </xf>
    <xf numFmtId="0" fontId="26" fillId="0" borderId="14" xfId="48" applyFont="1" applyBorder="1" applyAlignment="1">
      <alignment horizontal="left"/>
    </xf>
    <xf numFmtId="0" fontId="26" fillId="0" borderId="21" xfId="48" applyFont="1" applyBorder="1" applyAlignment="1">
      <alignment horizontal="left"/>
    </xf>
    <xf numFmtId="0" fontId="26" fillId="0" borderId="29" xfId="48" applyFont="1" applyBorder="1" applyAlignment="1">
      <alignment horizontal="left"/>
    </xf>
    <xf numFmtId="164" fontId="7" fillId="0" borderId="15" xfId="48" applyNumberFormat="1" applyFont="1" applyBorder="1" applyAlignment="1">
      <alignment horizontal="right"/>
    </xf>
    <xf numFmtId="164" fontId="2" fillId="0" borderId="24" xfId="48" applyNumberFormat="1" applyBorder="1"/>
    <xf numFmtId="0" fontId="2" fillId="0" borderId="24" xfId="48" applyBorder="1"/>
    <xf numFmtId="0" fontId="2" fillId="25" borderId="24" xfId="48" applyFill="1" applyBorder="1"/>
    <xf numFmtId="0" fontId="25" fillId="26" borderId="25" xfId="48" applyFont="1" applyFill="1" applyBorder="1" applyAlignment="1">
      <alignment horizontal="left"/>
    </xf>
    <xf numFmtId="0" fontId="3" fillId="0" borderId="23" xfId="48" applyFont="1" applyBorder="1" applyAlignment="1">
      <alignment wrapText="1"/>
    </xf>
    <xf numFmtId="0" fontId="3" fillId="0" borderId="23" xfId="48" applyFont="1" applyBorder="1" applyAlignment="1">
      <alignment horizontal="center" wrapText="1"/>
    </xf>
    <xf numFmtId="164" fontId="7" fillId="0" borderId="28" xfId="48" applyNumberFormat="1" applyFont="1" applyBorder="1" applyAlignment="1">
      <alignment horizontal="right"/>
    </xf>
    <xf numFmtId="0" fontId="2" fillId="25" borderId="28" xfId="48" applyFill="1" applyBorder="1"/>
    <xf numFmtId="0" fontId="29" fillId="25" borderId="29" xfId="48" applyFont="1" applyFill="1" applyBorder="1" applyAlignment="1">
      <alignment horizontal="center"/>
    </xf>
    <xf numFmtId="0" fontId="29" fillId="25" borderId="14" xfId="48" applyFont="1" applyFill="1" applyBorder="1" applyAlignment="1">
      <alignment horizontal="center"/>
    </xf>
    <xf numFmtId="0" fontId="2" fillId="25" borderId="15" xfId="48" applyFill="1" applyBorder="1"/>
    <xf numFmtId="0" fontId="29" fillId="25" borderId="21" xfId="48" applyFont="1" applyFill="1" applyBorder="1" applyAlignment="1">
      <alignment horizontal="center"/>
    </xf>
    <xf numFmtId="0" fontId="0" fillId="27" borderId="0" xfId="0" applyFill="1"/>
    <xf numFmtId="3" fontId="0" fillId="0" borderId="0" xfId="0" applyNumberFormat="1"/>
    <xf numFmtId="164" fontId="2" fillId="0" borderId="0" xfId="48" applyNumberFormat="1"/>
    <xf numFmtId="1" fontId="2" fillId="24" borderId="28" xfId="48" applyNumberFormat="1" applyFill="1" applyBorder="1" applyAlignment="1" applyProtection="1">
      <alignment horizontal="center"/>
      <protection locked="0"/>
    </xf>
    <xf numFmtId="1" fontId="2" fillId="24" borderId="10" xfId="48" applyNumberFormat="1" applyFill="1" applyBorder="1" applyAlignment="1" applyProtection="1">
      <alignment horizontal="center"/>
      <protection locked="0"/>
    </xf>
    <xf numFmtId="1" fontId="2" fillId="24" borderId="16" xfId="48" applyNumberFormat="1" applyFill="1" applyBorder="1" applyAlignment="1" applyProtection="1">
      <alignment horizontal="center"/>
      <protection locked="0"/>
    </xf>
    <xf numFmtId="1" fontId="2" fillId="24" borderId="15" xfId="48" applyNumberFormat="1" applyFill="1" applyBorder="1" applyAlignment="1" applyProtection="1">
      <alignment horizontal="center"/>
      <protection locked="0"/>
    </xf>
    <xf numFmtId="164" fontId="7" fillId="0" borderId="19" xfId="48" applyNumberFormat="1" applyFont="1" applyBorder="1"/>
    <xf numFmtId="164" fontId="28" fillId="0" borderId="19" xfId="48" applyNumberFormat="1" applyFont="1" applyBorder="1"/>
    <xf numFmtId="1" fontId="2" fillId="24" borderId="19" xfId="48" applyNumberFormat="1" applyFill="1" applyBorder="1" applyAlignment="1" applyProtection="1">
      <alignment horizontal="center"/>
      <protection locked="0"/>
    </xf>
    <xf numFmtId="164" fontId="2" fillId="0" borderId="19" xfId="48" applyNumberFormat="1" applyBorder="1"/>
    <xf numFmtId="0" fontId="30" fillId="0" borderId="10" xfId="48" applyFont="1" applyBorder="1"/>
    <xf numFmtId="0" fontId="30" fillId="0" borderId="10" xfId="48" applyFont="1" applyBorder="1" applyAlignment="1">
      <alignment horizontal="left"/>
    </xf>
    <xf numFmtId="164" fontId="2" fillId="0" borderId="17" xfId="48" applyNumberFormat="1" applyBorder="1"/>
    <xf numFmtId="164" fontId="2" fillId="0" borderId="22" xfId="48" applyNumberFormat="1" applyBorder="1"/>
    <xf numFmtId="0" fontId="30" fillId="0" borderId="27" xfId="48" applyFont="1" applyBorder="1"/>
    <xf numFmtId="164" fontId="2" fillId="0" borderId="29" xfId="48" applyNumberFormat="1" applyBorder="1"/>
    <xf numFmtId="0" fontId="30" fillId="0" borderId="13" xfId="48" applyFont="1" applyBorder="1"/>
    <xf numFmtId="164" fontId="2" fillId="0" borderId="14" xfId="48" applyNumberFormat="1" applyBorder="1"/>
    <xf numFmtId="0" fontId="31" fillId="0" borderId="13" xfId="48" applyFont="1" applyBorder="1"/>
    <xf numFmtId="0" fontId="30" fillId="0" borderId="18" xfId="48" applyFont="1" applyBorder="1"/>
    <xf numFmtId="164" fontId="7" fillId="25" borderId="15" xfId="48" applyNumberFormat="1" applyFont="1" applyFill="1" applyBorder="1" applyAlignment="1">
      <alignment horizontal="right"/>
    </xf>
    <xf numFmtId="164" fontId="2" fillId="0" borderId="21" xfId="48" applyNumberFormat="1" applyBorder="1"/>
    <xf numFmtId="164" fontId="2" fillId="0" borderId="30" xfId="48" applyNumberFormat="1" applyBorder="1"/>
    <xf numFmtId="0" fontId="30" fillId="0" borderId="19" xfId="48" applyFont="1" applyBorder="1"/>
    <xf numFmtId="0" fontId="30" fillId="0" borderId="16" xfId="48" applyFont="1" applyBorder="1" applyAlignment="1">
      <alignment horizontal="left"/>
    </xf>
    <xf numFmtId="0" fontId="30" fillId="0" borderId="27" xfId="48" applyFont="1" applyBorder="1" applyAlignment="1">
      <alignment horizontal="left"/>
    </xf>
    <xf numFmtId="0" fontId="30" fillId="0" borderId="13" xfId="48" applyFont="1" applyBorder="1" applyAlignment="1">
      <alignment horizontal="left"/>
    </xf>
    <xf numFmtId="0" fontId="30" fillId="0" borderId="18" xfId="48" applyFont="1" applyBorder="1" applyAlignment="1">
      <alignment horizontal="left"/>
    </xf>
    <xf numFmtId="0" fontId="30" fillId="0" borderId="20" xfId="48" applyFont="1" applyBorder="1"/>
    <xf numFmtId="164" fontId="7" fillId="0" borderId="20" xfId="48" applyNumberFormat="1" applyFont="1" applyBorder="1"/>
    <xf numFmtId="164" fontId="28" fillId="0" borderId="20" xfId="48" applyNumberFormat="1" applyFont="1" applyBorder="1"/>
    <xf numFmtId="1" fontId="2" fillId="24" borderId="20" xfId="48" applyNumberFormat="1" applyFill="1" applyBorder="1" applyAlignment="1" applyProtection="1">
      <alignment horizontal="center"/>
      <protection locked="0"/>
    </xf>
    <xf numFmtId="164" fontId="2" fillId="0" borderId="20" xfId="48" applyNumberFormat="1" applyBorder="1"/>
    <xf numFmtId="0" fontId="30" fillId="0" borderId="20" xfId="48" applyFont="1" applyBorder="1" applyAlignment="1">
      <alignment horizontal="left"/>
    </xf>
    <xf numFmtId="3" fontId="2" fillId="0" borderId="0" xfId="48" applyNumberFormat="1" applyAlignment="1">
      <alignment horizontal="right"/>
    </xf>
    <xf numFmtId="164" fontId="2" fillId="0" borderId="31" xfId="48" applyNumberFormat="1" applyBorder="1"/>
    <xf numFmtId="164" fontId="6" fillId="0" borderId="17" xfId="48" applyNumberFormat="1" applyFont="1" applyBorder="1"/>
    <xf numFmtId="0" fontId="3" fillId="0" borderId="17" xfId="48" applyFont="1" applyBorder="1"/>
    <xf numFmtId="164" fontId="6" fillId="0" borderId="27" xfId="48" applyNumberFormat="1" applyFont="1" applyBorder="1"/>
    <xf numFmtId="164" fontId="3" fillId="0" borderId="29" xfId="48" applyNumberFormat="1" applyFont="1" applyBorder="1"/>
    <xf numFmtId="164" fontId="6" fillId="0" borderId="13" xfId="48" applyNumberFormat="1" applyFont="1" applyBorder="1"/>
    <xf numFmtId="164" fontId="3" fillId="0" borderId="14" xfId="48" applyNumberFormat="1" applyFont="1" applyBorder="1"/>
    <xf numFmtId="0" fontId="3" fillId="0" borderId="13" xfId="48" applyFont="1" applyBorder="1"/>
    <xf numFmtId="164" fontId="6" fillId="0" borderId="18" xfId="48" applyNumberFormat="1" applyFont="1" applyBorder="1"/>
    <xf numFmtId="164" fontId="3" fillId="0" borderId="21" xfId="48" applyNumberFormat="1" applyFont="1" applyBorder="1"/>
    <xf numFmtId="0" fontId="3" fillId="0" borderId="32" xfId="48" applyFont="1" applyBorder="1"/>
    <xf numFmtId="4" fontId="3" fillId="0" borderId="25" xfId="48" applyNumberFormat="1" applyFont="1" applyBorder="1"/>
    <xf numFmtId="0" fontId="3" fillId="0" borderId="33" xfId="48" applyFont="1" applyBorder="1"/>
    <xf numFmtId="164" fontId="27" fillId="25" borderId="28" xfId="48" applyNumberFormat="1" applyFont="1" applyFill="1" applyBorder="1" applyAlignment="1">
      <alignment horizontal="center"/>
    </xf>
    <xf numFmtId="164" fontId="27" fillId="25" borderId="10" xfId="48" applyNumberFormat="1" applyFont="1" applyFill="1" applyBorder="1" applyAlignment="1">
      <alignment horizontal="center"/>
    </xf>
    <xf numFmtId="164" fontId="27" fillId="0" borderId="28" xfId="48" applyNumberFormat="1" applyFont="1" applyBorder="1" applyAlignment="1">
      <alignment horizontal="right"/>
    </xf>
    <xf numFmtId="165" fontId="2" fillId="24" borderId="16" xfId="48" applyNumberFormat="1" applyFill="1" applyBorder="1" applyAlignment="1">
      <alignment horizontal="center"/>
    </xf>
    <xf numFmtId="165" fontId="2" fillId="24" borderId="10" xfId="48" applyNumberFormat="1" applyFill="1" applyBorder="1" applyAlignment="1">
      <alignment horizontal="center"/>
    </xf>
    <xf numFmtId="165" fontId="2" fillId="24" borderId="15" xfId="48" applyNumberFormat="1" applyFill="1" applyBorder="1" applyAlignment="1">
      <alignment horizontal="center"/>
    </xf>
    <xf numFmtId="165" fontId="2" fillId="24" borderId="28" xfId="48" applyNumberFormat="1" applyFill="1" applyBorder="1" applyAlignment="1">
      <alignment horizontal="center"/>
    </xf>
    <xf numFmtId="164" fontId="7" fillId="0" borderId="23" xfId="48" applyNumberFormat="1" applyFont="1" applyBorder="1"/>
    <xf numFmtId="164" fontId="28" fillId="0" borderId="23" xfId="48" applyNumberFormat="1" applyFont="1" applyBorder="1"/>
    <xf numFmtId="1" fontId="2" fillId="24" borderId="23" xfId="48" applyNumberFormat="1" applyFill="1" applyBorder="1" applyAlignment="1" applyProtection="1">
      <alignment horizontal="center"/>
      <protection locked="0"/>
    </xf>
    <xf numFmtId="0" fontId="30" fillId="0" borderId="34" xfId="48" applyFont="1" applyBorder="1"/>
    <xf numFmtId="164" fontId="7" fillId="0" borderId="20" xfId="48" applyNumberFormat="1" applyFont="1" applyBorder="1" applyAlignment="1">
      <alignment horizontal="right"/>
    </xf>
    <xf numFmtId="164" fontId="2" fillId="0" borderId="35" xfId="48" applyNumberFormat="1" applyBorder="1"/>
    <xf numFmtId="0" fontId="30" fillId="0" borderId="36" xfId="48" applyFont="1" applyBorder="1" applyAlignment="1">
      <alignment horizontal="left"/>
    </xf>
    <xf numFmtId="164" fontId="7" fillId="0" borderId="37" xfId="48" applyNumberFormat="1" applyFont="1" applyBorder="1"/>
    <xf numFmtId="164" fontId="28" fillId="0" borderId="37" xfId="48" applyNumberFormat="1" applyFont="1" applyBorder="1"/>
    <xf numFmtId="1" fontId="2" fillId="24" borderId="37" xfId="48" applyNumberFormat="1" applyFill="1" applyBorder="1" applyAlignment="1" applyProtection="1">
      <alignment horizontal="center"/>
      <protection locked="0"/>
    </xf>
    <xf numFmtId="164" fontId="2" fillId="0" borderId="38" xfId="48" applyNumberFormat="1" applyBorder="1"/>
    <xf numFmtId="0" fontId="3" fillId="0" borderId="0" xfId="48" applyFont="1" applyAlignment="1">
      <alignment horizontal="center"/>
    </xf>
    <xf numFmtId="165" fontId="2" fillId="24" borderId="10" xfId="48" applyNumberFormat="1" applyFill="1" applyBorder="1" applyAlignment="1" applyProtection="1">
      <alignment horizontal="center"/>
      <protection locked="0"/>
    </xf>
    <xf numFmtId="165" fontId="2" fillId="24" borderId="15" xfId="48" applyNumberFormat="1" applyFill="1" applyBorder="1" applyAlignment="1" applyProtection="1">
      <alignment horizontal="center"/>
      <protection locked="0"/>
    </xf>
    <xf numFmtId="0" fontId="30" fillId="0" borderId="40" xfId="48" applyFont="1" applyBorder="1" applyAlignment="1">
      <alignment horizontal="left"/>
    </xf>
    <xf numFmtId="164" fontId="2" fillId="0" borderId="39" xfId="48" applyNumberFormat="1" applyBorder="1"/>
    <xf numFmtId="0" fontId="38" fillId="0" borderId="41" xfId="48" applyFont="1" applyBorder="1" applyAlignment="1">
      <alignment horizontal="center" vertical="center" wrapText="1"/>
    </xf>
    <xf numFmtId="0" fontId="2" fillId="0" borderId="42" xfId="48" applyBorder="1" applyAlignment="1">
      <alignment horizontal="center" vertical="center"/>
    </xf>
    <xf numFmtId="164" fontId="7" fillId="25" borderId="43" xfId="48" applyNumberFormat="1" applyFont="1" applyFill="1" applyBorder="1" applyAlignment="1">
      <alignment horizontal="right"/>
    </xf>
    <xf numFmtId="0" fontId="1" fillId="0" borderId="0" xfId="0" applyFont="1"/>
    <xf numFmtId="0" fontId="1" fillId="27" borderId="0" xfId="0" applyFont="1" applyFill="1"/>
    <xf numFmtId="0" fontId="3" fillId="0" borderId="27" xfId="48" applyFont="1" applyBorder="1" applyAlignment="1">
      <alignment horizontal="center" wrapText="1"/>
    </xf>
    <xf numFmtId="3" fontId="1" fillId="0" borderId="0" xfId="0" applyNumberFormat="1" applyFont="1"/>
    <xf numFmtId="0" fontId="38" fillId="0" borderId="12" xfId="48" applyFont="1" applyBorder="1" applyAlignment="1">
      <alignment horizontal="center" vertical="center" wrapText="1"/>
    </xf>
    <xf numFmtId="0" fontId="5" fillId="0" borderId="12" xfId="48" applyFont="1" applyBorder="1" applyAlignment="1">
      <alignment horizontal="center"/>
    </xf>
    <xf numFmtId="164" fontId="6" fillId="0" borderId="45" xfId="48" applyNumberFormat="1" applyFont="1" applyBorder="1" applyAlignment="1">
      <alignment horizontal="center"/>
    </xf>
    <xf numFmtId="164" fontId="6" fillId="0" borderId="44" xfId="48" applyNumberFormat="1" applyFont="1" applyBorder="1" applyAlignment="1">
      <alignment horizontal="center"/>
    </xf>
    <xf numFmtId="0" fontId="2" fillId="0" borderId="48" xfId="48" applyBorder="1"/>
    <xf numFmtId="0" fontId="6" fillId="24" borderId="18" xfId="48" applyFont="1" applyFill="1" applyBorder="1" applyAlignment="1" applyProtection="1">
      <alignment horizontal="center"/>
      <protection locked="0"/>
    </xf>
    <xf numFmtId="3" fontId="3" fillId="0" borderId="44" xfId="48" applyNumberFormat="1" applyFont="1" applyBorder="1" applyAlignment="1">
      <alignment horizontal="center"/>
    </xf>
    <xf numFmtId="0" fontId="3" fillId="0" borderId="44" xfId="48" applyFont="1" applyBorder="1" applyAlignment="1">
      <alignment horizontal="right"/>
    </xf>
    <xf numFmtId="3" fontId="2" fillId="0" borderId="19" xfId="48" applyNumberFormat="1" applyBorder="1"/>
    <xf numFmtId="0" fontId="2" fillId="0" borderId="49" xfId="48" applyBorder="1"/>
    <xf numFmtId="164" fontId="3" fillId="0" borderId="47" xfId="48" applyNumberFormat="1" applyFont="1" applyBorder="1"/>
    <xf numFmtId="0" fontId="3" fillId="0" borderId="46" xfId="48" applyFont="1" applyBorder="1" applyAlignment="1">
      <alignment horizontal="right"/>
    </xf>
    <xf numFmtId="164" fontId="6" fillId="24" borderId="15" xfId="48" applyNumberFormat="1" applyFont="1" applyFill="1" applyBorder="1" applyAlignment="1" applyProtection="1">
      <alignment horizontal="center"/>
      <protection locked="0"/>
    </xf>
    <xf numFmtId="164" fontId="6" fillId="24" borderId="21" xfId="48" applyNumberFormat="1" applyFont="1" applyFill="1" applyBorder="1" applyAlignment="1" applyProtection="1">
      <alignment horizontal="center"/>
      <protection locked="0"/>
    </xf>
    <xf numFmtId="0" fontId="3" fillId="0" borderId="28" xfId="48" applyFont="1" applyBorder="1" applyAlignment="1">
      <alignment horizontal="center" wrapText="1"/>
    </xf>
    <xf numFmtId="0" fontId="3" fillId="0" borderId="29" xfId="48" applyFont="1" applyBorder="1" applyAlignment="1">
      <alignment horizontal="center" wrapText="1"/>
    </xf>
    <xf numFmtId="0" fontId="35" fillId="0" borderId="0" xfId="48" applyFont="1" applyAlignment="1">
      <alignment horizontal="center"/>
    </xf>
    <xf numFmtId="0" fontId="39" fillId="0" borderId="0" xfId="48" applyFont="1" applyAlignment="1">
      <alignment horizontal="center"/>
    </xf>
  </cellXfs>
  <cellStyles count="7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Beregning" xfId="26" builtinId="22" customBuiltin="1"/>
    <cellStyle name="Calculation" xfId="27" xr:uid="{00000000-0005-0000-0000-00001A000000}"/>
    <cellStyle name="Check Cell" xfId="28" xr:uid="{00000000-0005-0000-0000-00001B000000}"/>
    <cellStyle name="Dårlig" xfId="29" builtinId="27" customBuiltin="1"/>
    <cellStyle name="Explanatory Text" xfId="30" xr:uid="{00000000-0005-0000-0000-00001D000000}"/>
    <cellStyle name="Forklarende tekst" xfId="31" builtinId="53" customBuiltin="1"/>
    <cellStyle name="God" xfId="32" builtinId="26" customBuiltin="1"/>
    <cellStyle name="Good" xfId="33" xr:uid="{00000000-0005-0000-0000-000020000000}"/>
    <cellStyle name="Heading 1" xfId="34" xr:uid="{00000000-0005-0000-0000-000021000000}"/>
    <cellStyle name="Heading 2" xfId="35" xr:uid="{00000000-0005-0000-0000-000022000000}"/>
    <cellStyle name="Heading 3" xfId="36" xr:uid="{00000000-0005-0000-0000-000023000000}"/>
    <cellStyle name="Heading 4" xfId="37" xr:uid="{00000000-0005-0000-0000-000024000000}"/>
    <cellStyle name="INI-fil for Felles Malverk_x000d__x000a_[App" xfId="38" xr:uid="{00000000-0005-0000-0000-000026000000}"/>
    <cellStyle name="INI-fil for Felles Malverk_x000d__x000a_[App 2" xfId="39" xr:uid="{00000000-0005-0000-0000-000027000000}"/>
    <cellStyle name="Inndata" xfId="40" builtinId="20" customBuiltin="1"/>
    <cellStyle name="Input" xfId="41" xr:uid="{00000000-0005-0000-0000-000029000000}"/>
    <cellStyle name="Koblet celle" xfId="42" builtinId="24" customBuiltin="1"/>
    <cellStyle name="Kontrollcelle" xfId="43" builtinId="23" customBuiltin="1"/>
    <cellStyle name="Linked Cell" xfId="44" xr:uid="{00000000-0005-0000-0000-00002D000000}"/>
    <cellStyle name="Merknad" xfId="45" builtinId="10" customBuiltin="1"/>
    <cellStyle name="Merknad 2" xfId="46" xr:uid="{00000000-0005-0000-0000-00002F000000}"/>
    <cellStyle name="Neutral" xfId="47" xr:uid="{00000000-0005-0000-0000-000030000000}"/>
    <cellStyle name="Normal" xfId="0" builtinId="0"/>
    <cellStyle name="Normal 2" xfId="48" xr:uid="{00000000-0005-0000-0000-000032000000}"/>
    <cellStyle name="Normal 3" xfId="49" xr:uid="{00000000-0005-0000-0000-000033000000}"/>
    <cellStyle name="Normal 4" xfId="50" xr:uid="{00000000-0005-0000-0000-000034000000}"/>
    <cellStyle name="Note" xfId="51" xr:uid="{00000000-0005-0000-0000-000035000000}"/>
    <cellStyle name="Note 2" xfId="52" xr:uid="{00000000-0005-0000-0000-000036000000}"/>
    <cellStyle name="Nøytral" xfId="53" builtinId="28" customBuiltin="1"/>
    <cellStyle name="Output" xfId="54" xr:uid="{00000000-0005-0000-0000-000038000000}"/>
    <cellStyle name="Overskrift 1" xfId="55" builtinId="16" customBuiltin="1"/>
    <cellStyle name="Overskrift 2" xfId="56" builtinId="17" customBuiltin="1"/>
    <cellStyle name="Overskrift 3" xfId="57" builtinId="18" customBuiltin="1"/>
    <cellStyle name="Overskrift 4" xfId="58" builtinId="19" customBuiltin="1"/>
    <cellStyle name="Title" xfId="59" xr:uid="{00000000-0005-0000-0000-00003E000000}"/>
    <cellStyle name="Tittel" xfId="60" builtinId="15" customBuiltin="1"/>
    <cellStyle name="Total" xfId="61" xr:uid="{00000000-0005-0000-0000-000040000000}"/>
    <cellStyle name="Totalt" xfId="62" builtinId="25" customBuiltin="1"/>
    <cellStyle name="Utdata" xfId="63" builtinId="21" customBuiltin="1"/>
    <cellStyle name="Uthevingsfarge1" xfId="64" builtinId="29" customBuiltin="1"/>
    <cellStyle name="Uthevingsfarge2" xfId="65" builtinId="33" customBuiltin="1"/>
    <cellStyle name="Uthevingsfarge3" xfId="66" builtinId="37" customBuiltin="1"/>
    <cellStyle name="Uthevingsfarge4" xfId="67" builtinId="41" customBuiltin="1"/>
    <cellStyle name="Uthevingsfarge5" xfId="68" builtinId="45" customBuiltin="1"/>
    <cellStyle name="Uthevingsfarge6" xfId="69" builtinId="49" customBuiltin="1"/>
    <cellStyle name="Varseltekst" xfId="70" builtinId="11" customBuiltin="1"/>
    <cellStyle name="Warning Text" xfId="71" xr:uid="{00000000-0005-0000-0000-00004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5898</xdr:colOff>
      <xdr:row>7</xdr:row>
      <xdr:rowOff>1228</xdr:rowOff>
    </xdr:from>
    <xdr:to>
      <xdr:col>1</xdr:col>
      <xdr:colOff>1956309</xdr:colOff>
      <xdr:row>12</xdr:row>
      <xdr:rowOff>531090</xdr:rowOff>
    </xdr:to>
    <xdr:sp macro="" textlink="">
      <xdr:nvSpPr>
        <xdr:cNvPr id="36865" name="Text Box 4">
          <a:extLst>
            <a:ext uri="{FF2B5EF4-FFF2-40B4-BE49-F238E27FC236}">
              <a16:creationId xmlns:a16="http://schemas.microsoft.com/office/drawing/2014/main" id="{00000000-0008-0000-1100-0000019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883353" y="1240440"/>
          <a:ext cx="1950411" cy="1176408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nb-NO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Skriv i gule felter.</a:t>
          </a:r>
          <a:endParaRPr lang="nb-NO" sz="1200" b="0" i="0" u="none" strike="noStrike" baseline="0">
            <a:solidFill>
              <a:srgbClr val="FF0000"/>
            </a:solidFill>
            <a:latin typeface="+mn-lt"/>
            <a:cs typeface="+mn-cs"/>
          </a:endParaRPr>
        </a:p>
        <a:p>
          <a:pPr algn="l" rtl="0">
            <a:defRPr sz="1000"/>
          </a:pPr>
          <a:r>
            <a:rPr lang="nb-NO" sz="1200" b="0" i="0" u="none" strike="noStrike" baseline="0">
              <a:solidFill>
                <a:srgbClr val="FF0000"/>
              </a:solidFill>
              <a:latin typeface="+mn-lt"/>
              <a:cs typeface="+mn-cs"/>
            </a:rPr>
            <a:t>Velg lønnstrinn og sett inn ev. faste årlige tillegg.</a:t>
          </a: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PrintsWithSheet="0"/>
  </xdr:twoCellAnchor>
  <xdr:twoCellAnchor editAs="absolute">
    <xdr:from>
      <xdr:col>4</xdr:col>
      <xdr:colOff>76972</xdr:colOff>
      <xdr:row>80</xdr:row>
      <xdr:rowOff>212349</xdr:rowOff>
    </xdr:from>
    <xdr:to>
      <xdr:col>7</xdr:col>
      <xdr:colOff>0</xdr:colOff>
      <xdr:row>113</xdr:row>
      <xdr:rowOff>7697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79E3EC14-9131-DC41-9DE8-76D2AB54666A}"/>
            </a:ext>
          </a:extLst>
        </xdr:cNvPr>
        <xdr:cNvSpPr txBox="1">
          <a:spLocks noChangeArrowheads="1"/>
        </xdr:cNvSpPr>
      </xdr:nvSpPr>
      <xdr:spPr bwMode="auto">
        <a:xfrm>
          <a:off x="4164063" y="9340955"/>
          <a:ext cx="2809394" cy="1673409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Merknad:</a:t>
          </a:r>
          <a:endParaRPr lang="nb-NO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FF0000"/>
              </a:solidFill>
              <a:latin typeface="Arial"/>
              <a:cs typeface="Arial"/>
            </a:rPr>
            <a:t>Ettersom NOFs lønnstabell </a:t>
          </a:r>
          <a:r>
            <a:rPr lang="nb-NO" sz="1100" b="1" i="0" u="sng" strike="noStrike" baseline="0">
              <a:solidFill>
                <a:srgbClr val="FF0000"/>
              </a:solidFill>
              <a:latin typeface="Arial"/>
              <a:cs typeface="Arial"/>
            </a:rPr>
            <a:t>kun</a:t>
          </a:r>
          <a:r>
            <a:rPr lang="nb-NO" sz="1100" b="0" i="0" u="none" strike="noStrike" baseline="0">
              <a:solidFill>
                <a:srgbClr val="FF0000"/>
              </a:solidFill>
              <a:latin typeface="Arial"/>
              <a:cs typeface="Arial"/>
            </a:rPr>
            <a:t> tar høyde for lønnstrinnet, viser denne kalkulatoren reell verdi på øv/vakt mv.</a:t>
          </a:r>
        </a:p>
        <a:p>
          <a:pPr algn="l" rtl="0">
            <a:defRPr sz="1000"/>
          </a:pPr>
          <a:endParaRPr lang="nb-NO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FF0000"/>
              </a:solidFill>
              <a:latin typeface="Arial"/>
              <a:cs typeface="Arial"/>
            </a:rPr>
            <a:t>For personell med faste tillegg viser denne kalkulatoren reell økning av lønn på bakgrunn av fast tillegg.</a:t>
          </a:r>
        </a:p>
        <a:p>
          <a:pPr algn="l" rtl="0">
            <a:defRPr sz="1000"/>
          </a:pPr>
          <a:endParaRPr lang="nb-NO" sz="1200" b="0" i="0" u="none" strike="noStrike" baseline="0">
            <a:solidFill>
              <a:sysClr val="windowText" lastClr="000000"/>
            </a:solidFill>
            <a:latin typeface="+mn-lt"/>
            <a:cs typeface="+mn-cs"/>
          </a:endParaRP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7696</xdr:colOff>
      <xdr:row>0</xdr:row>
      <xdr:rowOff>153940</xdr:rowOff>
    </xdr:from>
    <xdr:to>
      <xdr:col>7</xdr:col>
      <xdr:colOff>0</xdr:colOff>
      <xdr:row>6</xdr:row>
      <xdr:rowOff>62969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3BADC2-8224-8A49-B691-41610BBAC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151" y="153940"/>
          <a:ext cx="6096001" cy="1048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14">
    <pageSetUpPr fitToPage="1"/>
  </sheetPr>
  <dimension ref="B1:M115"/>
  <sheetViews>
    <sheetView showGridLines="0" tabSelected="1" zoomScale="165" zoomScaleNormal="180" workbookViewId="0">
      <selection activeCell="E9" sqref="E9"/>
    </sheetView>
  </sheetViews>
  <sheetFormatPr baseColWidth="10" defaultColWidth="11.5" defaultRowHeight="13"/>
  <cols>
    <col min="1" max="1" width="11.5" style="1" customWidth="1"/>
    <col min="2" max="2" width="26.5" style="1" customWidth="1"/>
    <col min="3" max="3" width="15.6640625" style="1" customWidth="1"/>
    <col min="4" max="4" width="15.6640625" style="1" hidden="1" customWidth="1"/>
    <col min="5" max="5" width="16.1640625" style="1" bestFit="1" customWidth="1"/>
    <col min="6" max="6" width="6.33203125" style="2" bestFit="1" customWidth="1"/>
    <col min="7" max="7" width="15.33203125" style="1" customWidth="1"/>
    <col min="8" max="8" width="15.33203125" style="1" hidden="1" customWidth="1"/>
    <col min="9" max="9" width="9.5" style="1" hidden="1" customWidth="1"/>
    <col min="10" max="10" width="11.33203125" style="1" hidden="1" customWidth="1"/>
    <col min="11" max="11" width="10" style="1" hidden="1" customWidth="1"/>
    <col min="12" max="16384" width="11.5" style="1"/>
  </cols>
  <sheetData>
    <row r="1" spans="2:13">
      <c r="B1" s="5"/>
      <c r="C1" s="5"/>
      <c r="D1" s="5"/>
      <c r="E1" s="5"/>
      <c r="F1" s="5"/>
      <c r="G1" s="5"/>
    </row>
    <row r="2" spans="2:13">
      <c r="B2" s="5"/>
      <c r="C2" s="5"/>
      <c r="D2" s="5"/>
      <c r="E2" s="5"/>
      <c r="F2" s="5"/>
      <c r="G2" s="5"/>
    </row>
    <row r="3" spans="2:13">
      <c r="B3" s="5"/>
      <c r="C3" s="5"/>
      <c r="D3" s="5"/>
      <c r="E3" s="5"/>
      <c r="F3" s="5"/>
      <c r="G3" s="5"/>
    </row>
    <row r="4" spans="2:13" ht="23">
      <c r="B4" s="157"/>
      <c r="C4" s="157"/>
      <c r="D4" s="157"/>
      <c r="E4" s="157"/>
      <c r="F4" s="157"/>
      <c r="G4" s="157"/>
    </row>
    <row r="5" spans="2:13" ht="16">
      <c r="B5" s="158"/>
      <c r="C5" s="158"/>
      <c r="D5" s="158"/>
      <c r="E5" s="158"/>
      <c r="F5" s="158"/>
      <c r="G5" s="158"/>
    </row>
    <row r="7" spans="2:13" ht="8" customHeight="1" thickBot="1">
      <c r="C7" s="5"/>
      <c r="I7" s="3"/>
      <c r="J7" s="4"/>
      <c r="K7" s="4"/>
    </row>
    <row r="8" spans="2:13" ht="19" customHeight="1">
      <c r="C8" s="129" t="s">
        <v>119</v>
      </c>
      <c r="E8" s="139" t="s">
        <v>62</v>
      </c>
      <c r="F8" s="155" t="s">
        <v>74</v>
      </c>
      <c r="G8" s="156"/>
      <c r="I8" s="3"/>
      <c r="J8" s="4"/>
      <c r="K8" s="4"/>
    </row>
    <row r="9" spans="2:13" ht="18" customHeight="1" thickBot="1">
      <c r="C9" s="5"/>
      <c r="E9" s="146">
        <v>72</v>
      </c>
      <c r="F9" s="153"/>
      <c r="G9" s="154"/>
      <c r="I9" s="3"/>
      <c r="J9" s="4"/>
      <c r="K9" s="4"/>
    </row>
    <row r="10" spans="2:13" hidden="1">
      <c r="E10" s="145"/>
      <c r="F10" s="149"/>
      <c r="G10" s="150"/>
    </row>
    <row r="11" spans="2:13" ht="14" thickBot="1">
      <c r="E11" s="144">
        <f>IFERROR(VLOOKUP(E9,'A-tabell'!A:D,2,FALSE),"")</f>
        <v>720100</v>
      </c>
      <c r="F11" s="152" t="s">
        <v>116</v>
      </c>
      <c r="G11" s="151">
        <f>E11+F9</f>
        <v>720100</v>
      </c>
      <c r="H11" s="6"/>
    </row>
    <row r="12" spans="2:13" ht="19" hidden="1" thickBot="1">
      <c r="E12" s="142"/>
      <c r="F12" s="25"/>
      <c r="G12" s="143"/>
      <c r="H12" s="6"/>
    </row>
    <row r="13" spans="2:13" ht="45" customHeight="1" thickBot="1">
      <c r="C13" s="134" t="s">
        <v>80</v>
      </c>
      <c r="D13" s="135"/>
      <c r="E13" s="141" t="s">
        <v>81</v>
      </c>
      <c r="F13" s="147" t="s">
        <v>63</v>
      </c>
      <c r="G13" s="148" t="s">
        <v>64</v>
      </c>
      <c r="H13" s="110" t="s">
        <v>64</v>
      </c>
      <c r="I13" s="54" t="s">
        <v>0</v>
      </c>
      <c r="J13" s="55" t="s">
        <v>1</v>
      </c>
      <c r="K13" s="55" t="s">
        <v>56</v>
      </c>
    </row>
    <row r="14" spans="2:13" s="10" customFormat="1" ht="16">
      <c r="B14" s="77" t="s">
        <v>57</v>
      </c>
      <c r="C14" s="56">
        <v>65</v>
      </c>
      <c r="D14" s="111"/>
      <c r="E14" s="28">
        <f t="shared" ref="E14:E45" si="0">IF($F$9=0,C14,(C14+D14))</f>
        <v>65</v>
      </c>
      <c r="F14" s="65"/>
      <c r="G14" s="78">
        <f t="shared" ref="G14:G77" si="1">SUM(F14*E14)</f>
        <v>0</v>
      </c>
      <c r="H14" s="85">
        <f>C14*F14</f>
        <v>0</v>
      </c>
      <c r="I14" s="30"/>
      <c r="J14" s="57"/>
      <c r="K14" s="58"/>
    </row>
    <row r="15" spans="2:13" s="10" customFormat="1" ht="16">
      <c r="B15" s="79" t="s">
        <v>58</v>
      </c>
      <c r="C15" s="7">
        <v>65</v>
      </c>
      <c r="D15" s="112"/>
      <c r="E15" s="8">
        <f t="shared" si="0"/>
        <v>65</v>
      </c>
      <c r="F15" s="66"/>
      <c r="G15" s="80">
        <f t="shared" si="1"/>
        <v>0</v>
      </c>
      <c r="H15" s="75">
        <f t="shared" ref="H15:H78" si="2">C15*F15</f>
        <v>0</v>
      </c>
      <c r="I15" s="12"/>
      <c r="J15" s="13"/>
      <c r="K15" s="59"/>
    </row>
    <row r="16" spans="2:13" s="10" customFormat="1" ht="17" thickBot="1">
      <c r="B16" s="82" t="s">
        <v>108</v>
      </c>
      <c r="C16" s="35">
        <v>25</v>
      </c>
      <c r="D16" s="136"/>
      <c r="E16" s="36">
        <f t="shared" si="0"/>
        <v>25</v>
      </c>
      <c r="F16" s="68"/>
      <c r="G16" s="84">
        <f t="shared" si="1"/>
        <v>0</v>
      </c>
      <c r="H16" s="75">
        <f t="shared" si="2"/>
        <v>0</v>
      </c>
      <c r="I16" s="12"/>
      <c r="J16" s="13"/>
      <c r="K16" s="59"/>
      <c r="M16" s="15"/>
    </row>
    <row r="17" spans="2:11" s="10" customFormat="1" ht="16" hidden="1">
      <c r="B17" s="77" t="s">
        <v>2</v>
      </c>
      <c r="C17" s="113">
        <f>E11/1950</f>
        <v>369.28205128205127</v>
      </c>
      <c r="D17" s="113">
        <f>F9/1950</f>
        <v>0</v>
      </c>
      <c r="E17" s="28">
        <f t="shared" si="0"/>
        <v>369.28205128205127</v>
      </c>
      <c r="F17" s="65"/>
      <c r="G17" s="78">
        <f t="shared" si="1"/>
        <v>0</v>
      </c>
      <c r="H17" s="75">
        <f t="shared" si="2"/>
        <v>0</v>
      </c>
      <c r="I17" s="12"/>
      <c r="J17" s="13"/>
      <c r="K17" s="59"/>
    </row>
    <row r="18" spans="2:11" s="10" customFormat="1" ht="17" hidden="1" thickBot="1">
      <c r="B18" s="121" t="s">
        <v>3</v>
      </c>
      <c r="C18" s="92">
        <f>(E11)/1850</f>
        <v>389.24324324324323</v>
      </c>
      <c r="D18" s="122">
        <f>(F9)/1850</f>
        <v>0</v>
      </c>
      <c r="E18" s="93">
        <f t="shared" si="0"/>
        <v>389.24324324324323</v>
      </c>
      <c r="F18" s="94"/>
      <c r="G18" s="123">
        <f t="shared" si="1"/>
        <v>0</v>
      </c>
      <c r="H18" s="98">
        <f t="shared" si="2"/>
        <v>0</v>
      </c>
      <c r="I18" s="12"/>
      <c r="J18" s="13"/>
      <c r="K18" s="59"/>
    </row>
    <row r="19" spans="2:11" s="10" customFormat="1" ht="16">
      <c r="B19" s="77" t="s">
        <v>82</v>
      </c>
      <c r="C19" s="27">
        <f>(E11/1850)*1.5</f>
        <v>583.86486486486478</v>
      </c>
      <c r="D19" s="56">
        <f>(F9/1850)*1.5</f>
        <v>0</v>
      </c>
      <c r="E19" s="28">
        <f t="shared" si="0"/>
        <v>583.86486486486478</v>
      </c>
      <c r="F19" s="65"/>
      <c r="G19" s="78">
        <f>SUM(F19*E19)</f>
        <v>0</v>
      </c>
      <c r="H19" s="75">
        <f t="shared" si="2"/>
        <v>0</v>
      </c>
      <c r="I19" s="12"/>
      <c r="J19" s="13"/>
      <c r="K19" s="59"/>
    </row>
    <row r="20" spans="2:11" s="10" customFormat="1" ht="16">
      <c r="B20" s="79" t="s">
        <v>65</v>
      </c>
      <c r="C20" s="14">
        <f>(E11/1850)*2</f>
        <v>778.48648648648646</v>
      </c>
      <c r="D20" s="7">
        <f>(F9/1850)*2</f>
        <v>0</v>
      </c>
      <c r="E20" s="8">
        <f t="shared" si="0"/>
        <v>778.48648648648646</v>
      </c>
      <c r="F20" s="66"/>
      <c r="G20" s="80">
        <f t="shared" si="1"/>
        <v>0</v>
      </c>
      <c r="H20" s="75">
        <f t="shared" si="2"/>
        <v>0</v>
      </c>
      <c r="I20" s="12"/>
      <c r="J20" s="13"/>
      <c r="K20" s="59"/>
    </row>
    <row r="21" spans="2:11" s="10" customFormat="1" ht="16" hidden="1">
      <c r="B21" s="81" t="s">
        <v>67</v>
      </c>
      <c r="C21" s="14">
        <f>((E11/1850)*1.5)/3</f>
        <v>194.62162162162159</v>
      </c>
      <c r="D21" s="7">
        <f>((F9/1850)*1.5)/3</f>
        <v>0</v>
      </c>
      <c r="E21" s="8">
        <f t="shared" si="0"/>
        <v>194.62162162162159</v>
      </c>
      <c r="F21" s="66"/>
      <c r="G21" s="80">
        <f t="shared" si="1"/>
        <v>0</v>
      </c>
      <c r="H21" s="75">
        <f t="shared" si="2"/>
        <v>0</v>
      </c>
      <c r="I21" s="12"/>
      <c r="J21" s="13"/>
      <c r="K21" s="59"/>
    </row>
    <row r="22" spans="2:11" s="10" customFormat="1" ht="16" hidden="1">
      <c r="B22" s="81" t="s">
        <v>68</v>
      </c>
      <c r="C22" s="14">
        <f>(E11/1850)</f>
        <v>389.24324324324323</v>
      </c>
      <c r="D22" s="7">
        <f>(F9/1850)</f>
        <v>0</v>
      </c>
      <c r="E22" s="8">
        <f t="shared" si="0"/>
        <v>389.24324324324323</v>
      </c>
      <c r="F22" s="66"/>
      <c r="G22" s="80">
        <f t="shared" si="1"/>
        <v>0</v>
      </c>
      <c r="H22" s="75">
        <f t="shared" si="2"/>
        <v>0</v>
      </c>
      <c r="I22" s="12"/>
      <c r="J22" s="13"/>
      <c r="K22" s="59"/>
    </row>
    <row r="23" spans="2:11" s="10" customFormat="1" ht="16">
      <c r="B23" s="81" t="s">
        <v>66</v>
      </c>
      <c r="C23" s="14">
        <f>(E11/1850)*0.45</f>
        <v>175.15945945945947</v>
      </c>
      <c r="D23" s="7">
        <f>(F9/1850)*0.45</f>
        <v>0</v>
      </c>
      <c r="E23" s="8">
        <f t="shared" si="0"/>
        <v>175.15945945945947</v>
      </c>
      <c r="F23" s="66"/>
      <c r="G23" s="80">
        <f t="shared" si="1"/>
        <v>0</v>
      </c>
      <c r="H23" s="75">
        <f t="shared" si="2"/>
        <v>0</v>
      </c>
      <c r="I23" s="12"/>
      <c r="J23" s="13"/>
      <c r="K23" s="59"/>
    </row>
    <row r="24" spans="2:11" s="10" customFormat="1" ht="16">
      <c r="B24" s="79" t="s">
        <v>59</v>
      </c>
      <c r="C24" s="14">
        <f>C17</f>
        <v>369.28205128205127</v>
      </c>
      <c r="D24" s="112"/>
      <c r="E24" s="8">
        <f t="shared" si="0"/>
        <v>369.28205128205127</v>
      </c>
      <c r="F24" s="66"/>
      <c r="G24" s="80">
        <f t="shared" si="1"/>
        <v>0</v>
      </c>
      <c r="H24" s="75">
        <f t="shared" si="2"/>
        <v>0</v>
      </c>
      <c r="I24" s="12"/>
      <c r="J24" s="13"/>
      <c r="K24" s="59"/>
    </row>
    <row r="25" spans="2:11" s="10" customFormat="1" ht="16">
      <c r="B25" s="79" t="s">
        <v>60</v>
      </c>
      <c r="C25" s="14">
        <f>C17</f>
        <v>369.28205128205127</v>
      </c>
      <c r="D25" s="112"/>
      <c r="E25" s="8">
        <f t="shared" si="0"/>
        <v>369.28205128205127</v>
      </c>
      <c r="F25" s="66"/>
      <c r="G25" s="80">
        <f t="shared" si="1"/>
        <v>0</v>
      </c>
      <c r="H25" s="75">
        <f t="shared" si="2"/>
        <v>0</v>
      </c>
      <c r="I25" s="12"/>
      <c r="J25" s="13"/>
      <c r="K25" s="59"/>
    </row>
    <row r="26" spans="2:11" s="10" customFormat="1" ht="17" thickBot="1">
      <c r="B26" s="82" t="s">
        <v>61</v>
      </c>
      <c r="C26" s="35">
        <f>C17</f>
        <v>369.28205128205127</v>
      </c>
      <c r="D26" s="83"/>
      <c r="E26" s="36">
        <f t="shared" si="0"/>
        <v>369.28205128205127</v>
      </c>
      <c r="F26" s="68"/>
      <c r="G26" s="84">
        <f t="shared" si="1"/>
        <v>0</v>
      </c>
      <c r="H26" s="76">
        <f t="shared" si="2"/>
        <v>0</v>
      </c>
      <c r="I26" s="38"/>
      <c r="J26" s="60"/>
      <c r="K26" s="61"/>
    </row>
    <row r="27" spans="2:11" s="18" customFormat="1" ht="17" hidden="1" thickBot="1">
      <c r="B27" s="86" t="s">
        <v>4</v>
      </c>
      <c r="C27" s="69">
        <f>IF((E11/12*0.6)&lt;26960,26960,E11/12*0.6)</f>
        <v>36005</v>
      </c>
      <c r="D27" s="69">
        <f>SUM((F9/12)*0.6)</f>
        <v>0</v>
      </c>
      <c r="E27" s="70">
        <f t="shared" si="0"/>
        <v>36005</v>
      </c>
      <c r="F27" s="71"/>
      <c r="G27" s="72">
        <f t="shared" si="1"/>
        <v>0</v>
      </c>
      <c r="H27" s="50">
        <f t="shared" si="2"/>
        <v>0</v>
      </c>
      <c r="I27" s="51"/>
      <c r="J27" s="52"/>
      <c r="K27" s="53"/>
    </row>
    <row r="28" spans="2:11" s="19" customFormat="1" ht="16">
      <c r="B28" s="88" t="s">
        <v>86</v>
      </c>
      <c r="C28" s="27">
        <f>(((C20*10)+(C19*6))*((7/16)))+(((C16*4)+(C23*10))*2/16)</f>
        <v>5169.9729729729725</v>
      </c>
      <c r="D28" s="27">
        <f>(((D20*10)+(D19*6))*((7/16)))+(((D23*10))*2/16)</f>
        <v>0</v>
      </c>
      <c r="E28" s="28">
        <f t="shared" si="0"/>
        <v>5169.9729729729725</v>
      </c>
      <c r="F28" s="65"/>
      <c r="G28" s="78">
        <f t="shared" si="1"/>
        <v>0</v>
      </c>
      <c r="H28" s="85">
        <f t="shared" si="2"/>
        <v>0</v>
      </c>
      <c r="I28" s="30">
        <f t="shared" ref="I28:I91" si="3">F28*J28</f>
        <v>0</v>
      </c>
      <c r="J28" s="30">
        <v>2</v>
      </c>
      <c r="K28" s="31"/>
    </row>
    <row r="29" spans="2:11" s="19" customFormat="1" ht="16">
      <c r="B29" s="89" t="s">
        <v>83</v>
      </c>
      <c r="C29" s="14">
        <f>(((C20*24)+(C14*24))*(9.67/24))+(((C15*24)+(C23*10))*2/24)</f>
        <v>8432.4805405405386</v>
      </c>
      <c r="D29" s="14">
        <f>(((D20*24))*(9.67/24))+(((D23*10))*2/24)</f>
        <v>0</v>
      </c>
      <c r="E29" s="8">
        <f t="shared" si="0"/>
        <v>8432.4805405405386</v>
      </c>
      <c r="F29" s="66"/>
      <c r="G29" s="80">
        <f t="shared" si="1"/>
        <v>0</v>
      </c>
      <c r="H29" s="75">
        <f t="shared" si="2"/>
        <v>0</v>
      </c>
      <c r="I29" s="12">
        <f t="shared" si="3"/>
        <v>0</v>
      </c>
      <c r="J29" s="12">
        <v>2</v>
      </c>
      <c r="K29" s="32"/>
    </row>
    <row r="30" spans="2:11" s="19" customFormat="1" ht="16">
      <c r="B30" s="79" t="s">
        <v>84</v>
      </c>
      <c r="C30" s="14">
        <f>((C20*24)+(C23*10))*((39.833/3)/24)+((((C16*20)+(C14*48))/7))*((39.833/3)/24)</f>
        <v>11591.631557003431</v>
      </c>
      <c r="D30" s="14">
        <f>((D20*24)+(D23*10))*(39.833/3/24)</f>
        <v>0</v>
      </c>
      <c r="E30" s="8">
        <f t="shared" si="0"/>
        <v>11591.631557003431</v>
      </c>
      <c r="F30" s="66"/>
      <c r="G30" s="80">
        <f t="shared" si="1"/>
        <v>0</v>
      </c>
      <c r="H30" s="75">
        <f t="shared" si="2"/>
        <v>0</v>
      </c>
      <c r="I30" s="12">
        <f t="shared" si="3"/>
        <v>0</v>
      </c>
      <c r="J30" s="12">
        <v>0</v>
      </c>
      <c r="K30" s="33"/>
    </row>
    <row r="31" spans="2:11" s="19" customFormat="1" ht="16" hidden="1">
      <c r="B31" s="89" t="s">
        <v>5</v>
      </c>
      <c r="C31" s="14">
        <f>C28/16</f>
        <v>323.12331081081078</v>
      </c>
      <c r="D31" s="14">
        <f>D28/16</f>
        <v>0</v>
      </c>
      <c r="E31" s="8">
        <f t="shared" si="0"/>
        <v>323.12331081081078</v>
      </c>
      <c r="F31" s="66"/>
      <c r="G31" s="80">
        <f t="shared" si="1"/>
        <v>0</v>
      </c>
      <c r="H31" s="75">
        <f t="shared" si="2"/>
        <v>0</v>
      </c>
      <c r="I31" s="12">
        <f t="shared" si="3"/>
        <v>0</v>
      </c>
      <c r="J31" s="12">
        <f>J28/16</f>
        <v>0.125</v>
      </c>
      <c r="K31" s="32"/>
    </row>
    <row r="32" spans="2:11" s="19" customFormat="1" ht="16" hidden="1">
      <c r="B32" s="89" t="s">
        <v>6</v>
      </c>
      <c r="C32" s="14">
        <f>C29/24</f>
        <v>351.3533558558558</v>
      </c>
      <c r="D32" s="14">
        <f>D29/24</f>
        <v>0</v>
      </c>
      <c r="E32" s="8">
        <f t="shared" si="0"/>
        <v>351.3533558558558</v>
      </c>
      <c r="F32" s="66"/>
      <c r="G32" s="80">
        <f t="shared" si="1"/>
        <v>0</v>
      </c>
      <c r="H32" s="75">
        <f t="shared" si="2"/>
        <v>0</v>
      </c>
      <c r="I32" s="12">
        <f t="shared" si="3"/>
        <v>0</v>
      </c>
      <c r="J32" s="20">
        <f>J29/24</f>
        <v>8.3333333333333329E-2</v>
      </c>
      <c r="K32" s="32"/>
    </row>
    <row r="33" spans="2:12" s="19" customFormat="1" ht="16" hidden="1">
      <c r="B33" s="89" t="s">
        <v>7</v>
      </c>
      <c r="C33" s="14">
        <f>C30/24</f>
        <v>482.9846482084763</v>
      </c>
      <c r="D33" s="14">
        <f>D30/24</f>
        <v>0</v>
      </c>
      <c r="E33" s="8">
        <f t="shared" si="0"/>
        <v>482.9846482084763</v>
      </c>
      <c r="F33" s="66"/>
      <c r="G33" s="80">
        <f t="shared" si="1"/>
        <v>0</v>
      </c>
      <c r="H33" s="75">
        <f t="shared" si="2"/>
        <v>0</v>
      </c>
      <c r="I33" s="12">
        <f t="shared" si="3"/>
        <v>0</v>
      </c>
      <c r="J33" s="12">
        <v>0</v>
      </c>
      <c r="K33" s="32"/>
    </row>
    <row r="34" spans="2:12" s="19" customFormat="1" ht="16">
      <c r="B34" s="89" t="s">
        <v>85</v>
      </c>
      <c r="C34" s="14">
        <f>((C16*4)+(C23*10))*9/16</f>
        <v>1041.5219594594594</v>
      </c>
      <c r="D34" s="14">
        <f>((D23*10))*9/16</f>
        <v>0</v>
      </c>
      <c r="E34" s="8">
        <f>IF($F$9=0,C34,(C34+D34))</f>
        <v>1041.5219594594594</v>
      </c>
      <c r="F34" s="66"/>
      <c r="G34" s="80">
        <f>SUM(F34*E34)</f>
        <v>0</v>
      </c>
      <c r="H34" s="75">
        <f>C34*F34</f>
        <v>0</v>
      </c>
      <c r="I34" s="12">
        <f>F34*J34</f>
        <v>0</v>
      </c>
      <c r="J34" s="12">
        <v>9</v>
      </c>
      <c r="K34" s="32"/>
    </row>
    <row r="35" spans="2:12" s="19" customFormat="1" ht="17" thickBot="1">
      <c r="B35" s="90" t="s">
        <v>87</v>
      </c>
      <c r="C35" s="35">
        <f>(((C15*24)+(C23*10))*11.67/16)</f>
        <v>2415.3943074324325</v>
      </c>
      <c r="D35" s="35">
        <f>(((D15*24)+(D23*10))*11.67/16)</f>
        <v>0</v>
      </c>
      <c r="E35" s="36">
        <f t="shared" si="0"/>
        <v>2415.3943074324325</v>
      </c>
      <c r="F35" s="68"/>
      <c r="G35" s="84">
        <f t="shared" si="1"/>
        <v>0</v>
      </c>
      <c r="H35" s="75">
        <f t="shared" si="2"/>
        <v>0</v>
      </c>
      <c r="I35" s="12">
        <f t="shared" si="3"/>
        <v>0</v>
      </c>
      <c r="J35" s="12">
        <v>11.67</v>
      </c>
      <c r="K35" s="32"/>
    </row>
    <row r="36" spans="2:12" s="19" customFormat="1" ht="17" hidden="1" thickBot="1">
      <c r="B36" s="87" t="s">
        <v>8</v>
      </c>
      <c r="C36" s="16">
        <f>C34/16</f>
        <v>65.09512246621621</v>
      </c>
      <c r="D36" s="16">
        <f>D34/16</f>
        <v>0</v>
      </c>
      <c r="E36" s="17">
        <f t="shared" si="0"/>
        <v>65.09512246621621</v>
      </c>
      <c r="F36" s="67"/>
      <c r="G36" s="9">
        <f t="shared" si="1"/>
        <v>0</v>
      </c>
      <c r="H36" s="11">
        <f t="shared" si="2"/>
        <v>0</v>
      </c>
      <c r="I36" s="12">
        <f t="shared" si="3"/>
        <v>0</v>
      </c>
      <c r="J36" s="21">
        <f>J34/16</f>
        <v>0.5625</v>
      </c>
      <c r="K36" s="32"/>
    </row>
    <row r="37" spans="2:12" s="19" customFormat="1" ht="17" hidden="1" thickBot="1">
      <c r="B37" s="74" t="s">
        <v>9</v>
      </c>
      <c r="C37" s="14">
        <f>C35/24</f>
        <v>100.64142947635135</v>
      </c>
      <c r="D37" s="14">
        <f>D35/24</f>
        <v>0</v>
      </c>
      <c r="E37" s="8">
        <f t="shared" si="0"/>
        <v>100.64142947635135</v>
      </c>
      <c r="F37" s="66"/>
      <c r="G37" s="11">
        <f t="shared" si="1"/>
        <v>0</v>
      </c>
      <c r="H37" s="11">
        <f t="shared" si="2"/>
        <v>0</v>
      </c>
      <c r="I37" s="12">
        <f t="shared" si="3"/>
        <v>0</v>
      </c>
      <c r="J37" s="21">
        <f>J35/24</f>
        <v>0.48625000000000002</v>
      </c>
      <c r="K37" s="32"/>
    </row>
    <row r="38" spans="2:12" s="19" customFormat="1" ht="17" hidden="1" thickBot="1">
      <c r="B38" s="74" t="s">
        <v>10</v>
      </c>
      <c r="C38" s="14">
        <f>C28*1.5</f>
        <v>7754.9594594594582</v>
      </c>
      <c r="D38" s="14">
        <f>D28*1.5</f>
        <v>0</v>
      </c>
      <c r="E38" s="8">
        <f t="shared" si="0"/>
        <v>7754.9594594594582</v>
      </c>
      <c r="F38" s="66"/>
      <c r="G38" s="11">
        <f t="shared" si="1"/>
        <v>0</v>
      </c>
      <c r="H38" s="11">
        <f t="shared" si="2"/>
        <v>0</v>
      </c>
      <c r="I38" s="12">
        <f t="shared" si="3"/>
        <v>0</v>
      </c>
      <c r="J38" s="12">
        <v>2</v>
      </c>
      <c r="K38" s="32"/>
      <c r="L38" s="22"/>
    </row>
    <row r="39" spans="2:12" s="19" customFormat="1" ht="17" hidden="1" thickBot="1">
      <c r="B39" s="74" t="s">
        <v>11</v>
      </c>
      <c r="C39" s="14">
        <f t="shared" ref="C39:D40" si="4">C29*1.5</f>
        <v>12648.720810810808</v>
      </c>
      <c r="D39" s="14">
        <f t="shared" si="4"/>
        <v>0</v>
      </c>
      <c r="E39" s="8">
        <f t="shared" si="0"/>
        <v>12648.720810810808</v>
      </c>
      <c r="F39" s="66"/>
      <c r="G39" s="11">
        <f t="shared" si="1"/>
        <v>0</v>
      </c>
      <c r="H39" s="11">
        <f t="shared" si="2"/>
        <v>0</v>
      </c>
      <c r="I39" s="12">
        <f t="shared" si="3"/>
        <v>0</v>
      </c>
      <c r="J39" s="12">
        <v>2</v>
      </c>
      <c r="K39" s="32"/>
    </row>
    <row r="40" spans="2:12" s="19" customFormat="1" ht="17" hidden="1" thickBot="1">
      <c r="B40" s="73" t="s">
        <v>12</v>
      </c>
      <c r="C40" s="14">
        <f t="shared" si="4"/>
        <v>17387.447335505145</v>
      </c>
      <c r="D40" s="14">
        <f t="shared" si="4"/>
        <v>0</v>
      </c>
      <c r="E40" s="8">
        <f t="shared" si="0"/>
        <v>17387.447335505145</v>
      </c>
      <c r="F40" s="66"/>
      <c r="G40" s="11">
        <f>SUM(F40*E40)</f>
        <v>0</v>
      </c>
      <c r="H40" s="11">
        <f t="shared" si="2"/>
        <v>0</v>
      </c>
      <c r="I40" s="12">
        <f t="shared" si="3"/>
        <v>0</v>
      </c>
      <c r="J40" s="12">
        <v>0</v>
      </c>
      <c r="K40" s="32"/>
    </row>
    <row r="41" spans="2:12" s="19" customFormat="1" ht="17" hidden="1" thickBot="1">
      <c r="B41" s="73" t="s">
        <v>13</v>
      </c>
      <c r="C41" s="14">
        <f>C38/16</f>
        <v>484.68496621621614</v>
      </c>
      <c r="D41" s="14">
        <f>D38/16</f>
        <v>0</v>
      </c>
      <c r="E41" s="8">
        <f t="shared" si="0"/>
        <v>484.68496621621614</v>
      </c>
      <c r="F41" s="66"/>
      <c r="G41" s="11">
        <f t="shared" si="1"/>
        <v>0</v>
      </c>
      <c r="H41" s="11">
        <f t="shared" si="2"/>
        <v>0</v>
      </c>
      <c r="I41" s="12">
        <f t="shared" si="3"/>
        <v>0</v>
      </c>
      <c r="J41" s="12">
        <f>J31</f>
        <v>0.125</v>
      </c>
      <c r="K41" s="32"/>
    </row>
    <row r="42" spans="2:12" s="19" customFormat="1" ht="17" hidden="1" thickBot="1">
      <c r="B42" s="73" t="s">
        <v>14</v>
      </c>
      <c r="C42" s="14">
        <f>C39/24</f>
        <v>527.03003378378367</v>
      </c>
      <c r="D42" s="14">
        <f>D39/24</f>
        <v>0</v>
      </c>
      <c r="E42" s="8">
        <f t="shared" si="0"/>
        <v>527.03003378378367</v>
      </c>
      <c r="F42" s="66"/>
      <c r="G42" s="11">
        <f t="shared" si="1"/>
        <v>0</v>
      </c>
      <c r="H42" s="11">
        <f t="shared" si="2"/>
        <v>0</v>
      </c>
      <c r="I42" s="12">
        <f t="shared" si="3"/>
        <v>0</v>
      </c>
      <c r="J42" s="20">
        <f>J32</f>
        <v>8.3333333333333329E-2</v>
      </c>
      <c r="K42" s="32"/>
    </row>
    <row r="43" spans="2:12" s="19" customFormat="1" ht="17" hidden="1" thickBot="1">
      <c r="B43" s="91" t="s">
        <v>15</v>
      </c>
      <c r="C43" s="92">
        <f>C40/24</f>
        <v>724.47697231271434</v>
      </c>
      <c r="D43" s="92">
        <f>D40/24</f>
        <v>0</v>
      </c>
      <c r="E43" s="93">
        <f t="shared" si="0"/>
        <v>724.47697231271434</v>
      </c>
      <c r="F43" s="94"/>
      <c r="G43" s="95">
        <f t="shared" si="1"/>
        <v>0</v>
      </c>
      <c r="H43" s="37">
        <f t="shared" si="2"/>
        <v>0</v>
      </c>
      <c r="I43" s="38">
        <f t="shared" si="3"/>
        <v>0</v>
      </c>
      <c r="J43" s="38">
        <v>0</v>
      </c>
      <c r="K43" s="39"/>
    </row>
    <row r="44" spans="2:12" s="19" customFormat="1" ht="16">
      <c r="B44" s="88" t="s">
        <v>88</v>
      </c>
      <c r="C44" s="27">
        <f>(((C20*10)+(C19*6))*(8.67/16))+(((C16*4)+(C23*10))*2/16)</f>
        <v>6348.163614864864</v>
      </c>
      <c r="D44" s="27">
        <f>(((D20*10)+(D19*6))*(8.67/16))+(((D23*10))*2/16)</f>
        <v>0</v>
      </c>
      <c r="E44" s="28">
        <f t="shared" si="0"/>
        <v>6348.163614864864</v>
      </c>
      <c r="F44" s="65"/>
      <c r="G44" s="78">
        <f t="shared" si="1"/>
        <v>0</v>
      </c>
      <c r="H44" s="85">
        <f t="shared" si="2"/>
        <v>0</v>
      </c>
      <c r="I44" s="30">
        <f t="shared" si="3"/>
        <v>0</v>
      </c>
      <c r="J44" s="30">
        <v>2</v>
      </c>
      <c r="K44" s="31"/>
    </row>
    <row r="45" spans="2:12" s="19" customFormat="1" ht="16">
      <c r="B45" s="89" t="s">
        <v>89</v>
      </c>
      <c r="C45" s="14">
        <f>(((C20*24)+(C14*24))*(11.33/24))+(((C15*24)+(C23*10))*2/24)</f>
        <v>9832.6681081081078</v>
      </c>
      <c r="D45" s="14">
        <f>(((D20*24)*(11.33/24))+((D23*10))*2/24)</f>
        <v>0</v>
      </c>
      <c r="E45" s="8">
        <f t="shared" si="0"/>
        <v>9832.6681081081078</v>
      </c>
      <c r="F45" s="66"/>
      <c r="G45" s="80">
        <f t="shared" si="1"/>
        <v>0</v>
      </c>
      <c r="H45" s="75">
        <f t="shared" si="2"/>
        <v>0</v>
      </c>
      <c r="I45" s="12">
        <f t="shared" si="3"/>
        <v>0</v>
      </c>
      <c r="J45" s="12">
        <v>2</v>
      </c>
      <c r="K45" s="32"/>
    </row>
    <row r="46" spans="2:12" s="19" customFormat="1" ht="16">
      <c r="B46" s="89" t="s">
        <v>16</v>
      </c>
      <c r="C46" s="14">
        <f>(((C20*24)+(C23*10))*(44.833)/(24*3))+(((C16*20/7)+(C14*48/7))*(44.833/(24*3)))</f>
        <v>13046.660246407118</v>
      </c>
      <c r="D46" s="14">
        <f>(((D20*24)+(D23*10))*(44.833)/(24*3))</f>
        <v>0</v>
      </c>
      <c r="E46" s="8">
        <f t="shared" ref="E46:E77" si="5">IF($F$9=0,C46,(C46+D46))</f>
        <v>13046.660246407118</v>
      </c>
      <c r="F46" s="66"/>
      <c r="G46" s="80">
        <f t="shared" si="1"/>
        <v>0</v>
      </c>
      <c r="H46" s="75">
        <f t="shared" si="2"/>
        <v>0</v>
      </c>
      <c r="I46" s="12">
        <f t="shared" si="3"/>
        <v>0</v>
      </c>
      <c r="J46" s="12">
        <v>0</v>
      </c>
      <c r="K46" s="33"/>
    </row>
    <row r="47" spans="2:12" s="19" customFormat="1" ht="17" thickBot="1">
      <c r="B47" s="89" t="s">
        <v>17</v>
      </c>
      <c r="C47" s="14">
        <f>C44/16</f>
        <v>396.760225929054</v>
      </c>
      <c r="D47" s="14">
        <f>D44/16</f>
        <v>0</v>
      </c>
      <c r="E47" s="8">
        <f t="shared" si="5"/>
        <v>396.760225929054</v>
      </c>
      <c r="F47" s="66"/>
      <c r="G47" s="80">
        <f t="shared" si="1"/>
        <v>0</v>
      </c>
      <c r="H47" s="75">
        <f t="shared" si="2"/>
        <v>0</v>
      </c>
      <c r="I47" s="12">
        <f t="shared" si="3"/>
        <v>0</v>
      </c>
      <c r="J47" s="12">
        <f>J44/16</f>
        <v>0.125</v>
      </c>
      <c r="K47" s="32"/>
    </row>
    <row r="48" spans="2:12" s="19" customFormat="1" ht="16" hidden="1">
      <c r="B48" s="89" t="s">
        <v>18</v>
      </c>
      <c r="C48" s="14">
        <f>C45/24</f>
        <v>409.69450450450449</v>
      </c>
      <c r="D48" s="14">
        <f>D45/24</f>
        <v>0</v>
      </c>
      <c r="E48" s="8">
        <f t="shared" si="5"/>
        <v>409.69450450450449</v>
      </c>
      <c r="F48" s="66"/>
      <c r="G48" s="80">
        <f t="shared" si="1"/>
        <v>0</v>
      </c>
      <c r="H48" s="75">
        <f t="shared" si="2"/>
        <v>0</v>
      </c>
      <c r="I48" s="12">
        <f t="shared" si="3"/>
        <v>0</v>
      </c>
      <c r="J48" s="20">
        <f>J45/24</f>
        <v>8.3333333333333329E-2</v>
      </c>
      <c r="K48" s="32"/>
    </row>
    <row r="49" spans="2:12" s="19" customFormat="1" ht="16" hidden="1">
      <c r="B49" s="89" t="s">
        <v>19</v>
      </c>
      <c r="C49" s="14">
        <f>C46/24</f>
        <v>543.61084360029656</v>
      </c>
      <c r="D49" s="14">
        <f>D46/24</f>
        <v>0</v>
      </c>
      <c r="E49" s="8">
        <f t="shared" si="5"/>
        <v>543.61084360029656</v>
      </c>
      <c r="F49" s="66"/>
      <c r="G49" s="80">
        <f t="shared" si="1"/>
        <v>0</v>
      </c>
      <c r="H49" s="75">
        <f t="shared" si="2"/>
        <v>0</v>
      </c>
      <c r="I49" s="12">
        <f t="shared" si="3"/>
        <v>0</v>
      </c>
      <c r="J49" s="12">
        <v>0</v>
      </c>
      <c r="K49" s="32"/>
    </row>
    <row r="50" spans="2:12" s="19" customFormat="1" ht="16" hidden="1">
      <c r="B50" s="89" t="s">
        <v>90</v>
      </c>
      <c r="C50" s="14">
        <f>((C19*0.75)+(C21*0.25))</f>
        <v>486.55405405405401</v>
      </c>
      <c r="D50" s="14">
        <f>((D19*0.75)+(D21*0.25))</f>
        <v>0</v>
      </c>
      <c r="E50" s="8">
        <f t="shared" si="5"/>
        <v>486.55405405405401</v>
      </c>
      <c r="F50" s="66"/>
      <c r="G50" s="80">
        <f t="shared" si="1"/>
        <v>0</v>
      </c>
      <c r="H50" s="75">
        <f t="shared" si="2"/>
        <v>0</v>
      </c>
      <c r="I50" s="12">
        <f t="shared" si="3"/>
        <v>0</v>
      </c>
      <c r="J50" s="12">
        <v>0.25</v>
      </c>
      <c r="K50" s="32"/>
    </row>
    <row r="51" spans="2:12" s="19" customFormat="1" ht="17" hidden="1" thickBot="1">
      <c r="B51" s="90" t="s">
        <v>91</v>
      </c>
      <c r="C51" s="35">
        <f>((C20*0.75)+(C22*0.25))</f>
        <v>681.17567567567562</v>
      </c>
      <c r="D51" s="35">
        <f>((D20*0.75)+(D22*0.25))</f>
        <v>0</v>
      </c>
      <c r="E51" s="36">
        <f t="shared" si="5"/>
        <v>681.17567567567562</v>
      </c>
      <c r="F51" s="68"/>
      <c r="G51" s="84">
        <f t="shared" si="1"/>
        <v>0</v>
      </c>
      <c r="H51" s="75">
        <f t="shared" si="2"/>
        <v>0</v>
      </c>
      <c r="I51" s="12">
        <f t="shared" si="3"/>
        <v>0</v>
      </c>
      <c r="J51" s="12">
        <v>0.25</v>
      </c>
      <c r="K51" s="32"/>
    </row>
    <row r="52" spans="2:12" s="19" customFormat="1" ht="17" hidden="1" thickBot="1">
      <c r="B52" s="124" t="s">
        <v>20</v>
      </c>
      <c r="C52" s="125">
        <f>(C20+C15)*0.75+(C22+C15)*0.25</f>
        <v>746.17567567567562</v>
      </c>
      <c r="D52" s="125">
        <f>(D20)*0.75+(D22)*0.25</f>
        <v>0</v>
      </c>
      <c r="E52" s="126">
        <f t="shared" si="5"/>
        <v>746.17567567567562</v>
      </c>
      <c r="F52" s="127"/>
      <c r="G52" s="128">
        <f t="shared" si="1"/>
        <v>0</v>
      </c>
      <c r="H52" s="75">
        <f t="shared" si="2"/>
        <v>0</v>
      </c>
      <c r="I52" s="12">
        <f t="shared" si="3"/>
        <v>0</v>
      </c>
      <c r="J52" s="12">
        <v>0.25</v>
      </c>
      <c r="K52" s="32"/>
    </row>
    <row r="53" spans="2:12" s="19" customFormat="1" ht="16" hidden="1">
      <c r="B53" s="87" t="s">
        <v>21</v>
      </c>
      <c r="C53" s="16">
        <f>(C20+C15)</f>
        <v>843.48648648648646</v>
      </c>
      <c r="D53" s="16">
        <f>(D20)</f>
        <v>0</v>
      </c>
      <c r="E53" s="17">
        <f t="shared" si="5"/>
        <v>843.48648648648646</v>
      </c>
      <c r="F53" s="67"/>
      <c r="G53" s="9">
        <f t="shared" si="1"/>
        <v>0</v>
      </c>
      <c r="H53" s="11">
        <f t="shared" si="2"/>
        <v>0</v>
      </c>
      <c r="I53" s="12">
        <f t="shared" si="3"/>
        <v>0</v>
      </c>
      <c r="J53" s="12">
        <v>0</v>
      </c>
      <c r="K53" s="40"/>
    </row>
    <row r="54" spans="2:12" s="19" customFormat="1" ht="16" hidden="1">
      <c r="B54" s="74" t="s">
        <v>22</v>
      </c>
      <c r="C54" s="14">
        <f t="shared" ref="C54:D56" si="6">C44*1.5</f>
        <v>9522.2454222972956</v>
      </c>
      <c r="D54" s="14">
        <f>D44*1.5</f>
        <v>0</v>
      </c>
      <c r="E54" s="8">
        <f t="shared" si="5"/>
        <v>9522.2454222972956</v>
      </c>
      <c r="F54" s="66"/>
      <c r="G54" s="11">
        <f t="shared" si="1"/>
        <v>0</v>
      </c>
      <c r="H54" s="11">
        <f t="shared" si="2"/>
        <v>0</v>
      </c>
      <c r="I54" s="12">
        <f t="shared" si="3"/>
        <v>0</v>
      </c>
      <c r="J54" s="12">
        <v>2</v>
      </c>
      <c r="K54" s="40"/>
    </row>
    <row r="55" spans="2:12" s="19" customFormat="1" ht="16" hidden="1">
      <c r="B55" s="74" t="s">
        <v>23</v>
      </c>
      <c r="C55" s="14">
        <f t="shared" si="6"/>
        <v>14749.002162162162</v>
      </c>
      <c r="D55" s="14">
        <f t="shared" si="6"/>
        <v>0</v>
      </c>
      <c r="E55" s="8">
        <f t="shared" si="5"/>
        <v>14749.002162162162</v>
      </c>
      <c r="F55" s="66"/>
      <c r="G55" s="11">
        <f t="shared" si="1"/>
        <v>0</v>
      </c>
      <c r="H55" s="11">
        <f t="shared" si="2"/>
        <v>0</v>
      </c>
      <c r="I55" s="12">
        <f t="shared" si="3"/>
        <v>0</v>
      </c>
      <c r="J55" s="12">
        <v>2</v>
      </c>
      <c r="K55" s="40"/>
    </row>
    <row r="56" spans="2:12" s="19" customFormat="1" ht="16" hidden="1">
      <c r="B56" s="74" t="s">
        <v>24</v>
      </c>
      <c r="C56" s="14">
        <f t="shared" si="6"/>
        <v>19569.990369610678</v>
      </c>
      <c r="D56" s="14">
        <f t="shared" si="6"/>
        <v>0</v>
      </c>
      <c r="E56" s="8">
        <f t="shared" si="5"/>
        <v>19569.990369610678</v>
      </c>
      <c r="F56" s="66"/>
      <c r="G56" s="11">
        <f>SUM(F56*E56)</f>
        <v>0</v>
      </c>
      <c r="H56" s="11">
        <f t="shared" si="2"/>
        <v>0</v>
      </c>
      <c r="I56" s="12">
        <f>F56*J56</f>
        <v>0</v>
      </c>
      <c r="J56" s="12">
        <v>0</v>
      </c>
      <c r="K56" s="40"/>
    </row>
    <row r="57" spans="2:12" s="19" customFormat="1" ht="16" hidden="1">
      <c r="B57" s="74" t="s">
        <v>25</v>
      </c>
      <c r="C57" s="14">
        <f>C54/16</f>
        <v>595.14033889358097</v>
      </c>
      <c r="D57" s="14">
        <f>D54/16</f>
        <v>0</v>
      </c>
      <c r="E57" s="8">
        <f t="shared" si="5"/>
        <v>595.14033889358097</v>
      </c>
      <c r="F57" s="66"/>
      <c r="G57" s="11">
        <f>SUM(F57*E57)</f>
        <v>0</v>
      </c>
      <c r="H57" s="11">
        <f t="shared" si="2"/>
        <v>0</v>
      </c>
      <c r="I57" s="12">
        <f>F57*J57</f>
        <v>0</v>
      </c>
      <c r="J57" s="12">
        <f>J47</f>
        <v>0.125</v>
      </c>
      <c r="K57" s="40"/>
    </row>
    <row r="58" spans="2:12" s="19" customFormat="1" ht="16" hidden="1">
      <c r="B58" s="74" t="s">
        <v>26</v>
      </c>
      <c r="C58" s="14">
        <f>C55/24</f>
        <v>614.54175675675674</v>
      </c>
      <c r="D58" s="14">
        <f>D55/24</f>
        <v>0</v>
      </c>
      <c r="E58" s="8">
        <f t="shared" si="5"/>
        <v>614.54175675675674</v>
      </c>
      <c r="F58" s="66"/>
      <c r="G58" s="11">
        <f>SUM(F58*E58)</f>
        <v>0</v>
      </c>
      <c r="H58" s="11">
        <f t="shared" si="2"/>
        <v>0</v>
      </c>
      <c r="I58" s="12">
        <f>F58*J58</f>
        <v>0</v>
      </c>
      <c r="J58" s="20">
        <f>J48</f>
        <v>8.3333333333333329E-2</v>
      </c>
      <c r="K58" s="40"/>
    </row>
    <row r="59" spans="2:12" s="19" customFormat="1" ht="17" hidden="1" thickBot="1">
      <c r="B59" s="96" t="s">
        <v>27</v>
      </c>
      <c r="C59" s="92">
        <f>C56/24</f>
        <v>815.4162654004449</v>
      </c>
      <c r="D59" s="92">
        <f>D56/24</f>
        <v>0</v>
      </c>
      <c r="E59" s="93">
        <f t="shared" si="5"/>
        <v>815.4162654004449</v>
      </c>
      <c r="F59" s="94"/>
      <c r="G59" s="95">
        <f>SUM(F59*E59)</f>
        <v>0</v>
      </c>
      <c r="H59" s="37">
        <f t="shared" si="2"/>
        <v>0</v>
      </c>
      <c r="I59" s="38">
        <f>F59*J59</f>
        <v>0</v>
      </c>
      <c r="J59" s="38">
        <f>J49</f>
        <v>0</v>
      </c>
      <c r="K59" s="42"/>
    </row>
    <row r="60" spans="2:12" s="19" customFormat="1" ht="16">
      <c r="B60" s="88" t="s">
        <v>106</v>
      </c>
      <c r="C60" s="118">
        <f>((C16*4)+(C23*10))*(7/16)+(((C19*6)+(C20*10))*1/16)</f>
        <v>1515.5760135135133</v>
      </c>
      <c r="D60" s="118">
        <f>((D23*10))*(7/16)+(((D19*6)+(D20*10))*1/16)</f>
        <v>0</v>
      </c>
      <c r="E60" s="119">
        <f t="shared" si="5"/>
        <v>1515.5760135135133</v>
      </c>
      <c r="F60" s="120"/>
      <c r="G60" s="78">
        <f t="shared" si="1"/>
        <v>0</v>
      </c>
      <c r="H60" s="85">
        <f t="shared" si="2"/>
        <v>0</v>
      </c>
      <c r="I60" s="30">
        <f t="shared" si="3"/>
        <v>0</v>
      </c>
      <c r="J60" s="30">
        <v>7</v>
      </c>
      <c r="K60" s="44"/>
    </row>
    <row r="61" spans="2:12" s="19" customFormat="1" ht="16">
      <c r="B61" s="132" t="s">
        <v>107</v>
      </c>
      <c r="C61" s="14">
        <f>C60/16</f>
        <v>94.723500844594582</v>
      </c>
      <c r="D61" s="14">
        <f>D60/16</f>
        <v>0</v>
      </c>
      <c r="E61" s="8">
        <f>IF($F$9=0,C61,(C61+D61))</f>
        <v>94.723500844594582</v>
      </c>
      <c r="F61" s="66"/>
      <c r="G61" s="133">
        <f>SUM(F61*E61)</f>
        <v>0</v>
      </c>
      <c r="H61" s="75">
        <f>C61*F61</f>
        <v>0</v>
      </c>
      <c r="I61" s="12">
        <f>F61*J61</f>
        <v>0</v>
      </c>
      <c r="J61" s="24">
        <f>J60/16</f>
        <v>0.4375</v>
      </c>
      <c r="K61" s="45"/>
    </row>
    <row r="62" spans="2:12" s="19" customFormat="1" ht="16">
      <c r="B62" s="132" t="s">
        <v>92</v>
      </c>
      <c r="C62" s="16">
        <f>((C15*24)+(C20*24)*(6.33/24))+(((C15*24)+(C23*10))*(7/24))</f>
        <v>7453.7012162162155</v>
      </c>
      <c r="D62" s="16">
        <f>((D20*24)*(6.33/24))+(((D23*10))*(7/24))</f>
        <v>0</v>
      </c>
      <c r="E62" s="17">
        <f t="shared" si="5"/>
        <v>7453.7012162162155</v>
      </c>
      <c r="F62" s="67"/>
      <c r="G62" s="133">
        <f t="shared" si="1"/>
        <v>0</v>
      </c>
      <c r="H62" s="75">
        <f t="shared" si="2"/>
        <v>0</v>
      </c>
      <c r="I62" s="12">
        <f t="shared" si="3"/>
        <v>0</v>
      </c>
      <c r="J62" s="12">
        <v>7</v>
      </c>
      <c r="K62" s="40"/>
    </row>
    <row r="63" spans="2:12" s="19" customFormat="1" ht="15.75" customHeight="1">
      <c r="B63" s="79" t="s">
        <v>93</v>
      </c>
      <c r="C63" s="14">
        <f>(((C20*24)+(C23*10)+(C16*20/7)+(C14*32/7)))*((13.33*28.83/24/(24)))+(C14*16/7)</f>
        <v>14028.775421362212</v>
      </c>
      <c r="D63" s="14">
        <f>(((D20*24)+(D23*10)))*((13.33*28.83/24/(24)))</f>
        <v>0</v>
      </c>
      <c r="E63" s="8">
        <f t="shared" si="5"/>
        <v>14028.775421362212</v>
      </c>
      <c r="F63" s="66"/>
      <c r="G63" s="80">
        <f t="shared" si="1"/>
        <v>0</v>
      </c>
      <c r="H63" s="75">
        <f t="shared" si="2"/>
        <v>0</v>
      </c>
      <c r="I63" s="12">
        <f t="shared" si="3"/>
        <v>0</v>
      </c>
      <c r="J63" s="12">
        <v>0</v>
      </c>
      <c r="K63" s="40"/>
      <c r="L63" s="23"/>
    </row>
    <row r="64" spans="2:12" s="19" customFormat="1" ht="16">
      <c r="B64" s="89" t="s">
        <v>94</v>
      </c>
      <c r="C64" s="14">
        <f>C62/24</f>
        <v>310.57088400900898</v>
      </c>
      <c r="D64" s="14">
        <f>D62/24</f>
        <v>0</v>
      </c>
      <c r="E64" s="8">
        <f t="shared" si="5"/>
        <v>310.57088400900898</v>
      </c>
      <c r="F64" s="66"/>
      <c r="G64" s="80">
        <f t="shared" si="1"/>
        <v>0</v>
      </c>
      <c r="H64" s="75">
        <f t="shared" si="2"/>
        <v>0</v>
      </c>
      <c r="I64" s="12">
        <f t="shared" si="3"/>
        <v>0</v>
      </c>
      <c r="J64" s="24">
        <f>J62/24</f>
        <v>0.29166666666666669</v>
      </c>
      <c r="K64" s="45"/>
    </row>
    <row r="65" spans="2:11" s="19" customFormat="1" ht="17" thickBot="1">
      <c r="B65" s="82" t="s">
        <v>95</v>
      </c>
      <c r="C65" s="35">
        <f>C63/24</f>
        <v>584.5323092234255</v>
      </c>
      <c r="D65" s="35">
        <f>D63/24</f>
        <v>0</v>
      </c>
      <c r="E65" s="36">
        <f t="shared" si="5"/>
        <v>584.5323092234255</v>
      </c>
      <c r="F65" s="68"/>
      <c r="G65" s="84">
        <f t="shared" si="1"/>
        <v>0</v>
      </c>
      <c r="H65" s="75">
        <f t="shared" si="2"/>
        <v>0</v>
      </c>
      <c r="I65" s="12">
        <f t="shared" si="3"/>
        <v>0</v>
      </c>
      <c r="J65" s="12">
        <v>0</v>
      </c>
      <c r="K65" s="46"/>
    </row>
    <row r="66" spans="2:11" s="19" customFormat="1" ht="16" hidden="1">
      <c r="B66" s="87" t="s">
        <v>28</v>
      </c>
      <c r="C66" s="16">
        <f>C60*1.5</f>
        <v>2273.36402027027</v>
      </c>
      <c r="D66" s="16">
        <f>D60*1.5</f>
        <v>0</v>
      </c>
      <c r="E66" s="17">
        <f t="shared" si="5"/>
        <v>2273.36402027027</v>
      </c>
      <c r="F66" s="67"/>
      <c r="G66" s="9">
        <f t="shared" si="1"/>
        <v>0</v>
      </c>
      <c r="H66" s="11">
        <f t="shared" si="2"/>
        <v>0</v>
      </c>
      <c r="I66" s="12">
        <f t="shared" si="3"/>
        <v>0</v>
      </c>
      <c r="J66" s="12">
        <v>7</v>
      </c>
      <c r="K66" s="46"/>
    </row>
    <row r="67" spans="2:11" s="19" customFormat="1" ht="16" hidden="1">
      <c r="B67" s="74" t="s">
        <v>29</v>
      </c>
      <c r="C67" s="14">
        <f>C62*1.5</f>
        <v>11180.551824324324</v>
      </c>
      <c r="D67" s="14">
        <f>D62*1.5</f>
        <v>0</v>
      </c>
      <c r="E67" s="8">
        <f t="shared" si="5"/>
        <v>11180.551824324324</v>
      </c>
      <c r="F67" s="66"/>
      <c r="G67" s="11">
        <f t="shared" si="1"/>
        <v>0</v>
      </c>
      <c r="H67" s="11">
        <f t="shared" si="2"/>
        <v>0</v>
      </c>
      <c r="I67" s="12">
        <f t="shared" si="3"/>
        <v>0</v>
      </c>
      <c r="J67" s="12">
        <v>7</v>
      </c>
      <c r="K67" s="46"/>
    </row>
    <row r="68" spans="2:11" s="19" customFormat="1" ht="16" hidden="1">
      <c r="B68" s="74" t="s">
        <v>30</v>
      </c>
      <c r="C68" s="14">
        <f>C63*1.5</f>
        <v>21043.163132043319</v>
      </c>
      <c r="D68" s="14">
        <f>D63*1.5</f>
        <v>0</v>
      </c>
      <c r="E68" s="8">
        <f t="shared" si="5"/>
        <v>21043.163132043319</v>
      </c>
      <c r="F68" s="66"/>
      <c r="G68" s="11">
        <f t="shared" si="1"/>
        <v>0</v>
      </c>
      <c r="H68" s="11">
        <f t="shared" si="2"/>
        <v>0</v>
      </c>
      <c r="I68" s="12">
        <f t="shared" si="3"/>
        <v>0</v>
      </c>
      <c r="J68" s="12">
        <v>0</v>
      </c>
      <c r="K68" s="46"/>
    </row>
    <row r="69" spans="2:11" s="19" customFormat="1" ht="16" hidden="1">
      <c r="B69" s="74" t="s">
        <v>31</v>
      </c>
      <c r="C69" s="14">
        <f>C66/16</f>
        <v>142.08525126689187</v>
      </c>
      <c r="D69" s="14">
        <f>D66/16</f>
        <v>0</v>
      </c>
      <c r="E69" s="8">
        <f t="shared" si="5"/>
        <v>142.08525126689187</v>
      </c>
      <c r="F69" s="66"/>
      <c r="G69" s="11">
        <f t="shared" si="1"/>
        <v>0</v>
      </c>
      <c r="H69" s="11">
        <f t="shared" si="2"/>
        <v>0</v>
      </c>
      <c r="I69" s="12">
        <f t="shared" si="3"/>
        <v>0</v>
      </c>
      <c r="J69" s="24">
        <f>J61</f>
        <v>0.4375</v>
      </c>
      <c r="K69" s="46"/>
    </row>
    <row r="70" spans="2:11" s="19" customFormat="1" ht="16" hidden="1">
      <c r="B70" s="74" t="s">
        <v>32</v>
      </c>
      <c r="C70" s="14">
        <f>C67/24</f>
        <v>465.85632601351352</v>
      </c>
      <c r="D70" s="14">
        <f>D67/24</f>
        <v>0</v>
      </c>
      <c r="E70" s="8">
        <f t="shared" si="5"/>
        <v>465.85632601351352</v>
      </c>
      <c r="F70" s="66"/>
      <c r="G70" s="11">
        <f t="shared" si="1"/>
        <v>0</v>
      </c>
      <c r="H70" s="11">
        <f t="shared" si="2"/>
        <v>0</v>
      </c>
      <c r="I70" s="12">
        <f t="shared" si="3"/>
        <v>0</v>
      </c>
      <c r="J70" s="24">
        <f>J64</f>
        <v>0.29166666666666669</v>
      </c>
      <c r="K70" s="46"/>
    </row>
    <row r="71" spans="2:11" s="19" customFormat="1" ht="17" hidden="1" thickBot="1">
      <c r="B71" s="96" t="s">
        <v>33</v>
      </c>
      <c r="C71" s="92">
        <f>C68/24</f>
        <v>876.79846383513825</v>
      </c>
      <c r="D71" s="92">
        <f>D68/24</f>
        <v>0</v>
      </c>
      <c r="E71" s="93">
        <f t="shared" si="5"/>
        <v>876.79846383513825</v>
      </c>
      <c r="F71" s="94"/>
      <c r="G71" s="95">
        <f t="shared" si="1"/>
        <v>0</v>
      </c>
      <c r="H71" s="37">
        <f t="shared" si="2"/>
        <v>0</v>
      </c>
      <c r="I71" s="38">
        <f t="shared" si="3"/>
        <v>0</v>
      </c>
      <c r="J71" s="38">
        <v>0</v>
      </c>
      <c r="K71" s="47"/>
    </row>
    <row r="72" spans="2:11" s="19" customFormat="1" ht="16">
      <c r="B72" s="88" t="s">
        <v>96</v>
      </c>
      <c r="C72" s="27">
        <f xml:space="preserve"> ((C20*10)+(C19*6))*(6/16)+(((C16*4)+(C23*10))*2/16)</f>
        <v>4464.4695945945941</v>
      </c>
      <c r="D72" s="27">
        <f xml:space="preserve"> ((D20*10)+(D19*6))*(6/16)+(((D23*10))*2/16)</f>
        <v>0</v>
      </c>
      <c r="E72" s="28">
        <f t="shared" si="5"/>
        <v>4464.4695945945941</v>
      </c>
      <c r="F72" s="65"/>
      <c r="G72" s="78">
        <f t="shared" si="1"/>
        <v>0</v>
      </c>
      <c r="H72" s="85">
        <f t="shared" si="2"/>
        <v>0</v>
      </c>
      <c r="I72" s="30">
        <f t="shared" si="3"/>
        <v>0</v>
      </c>
      <c r="J72" s="30">
        <v>2</v>
      </c>
      <c r="K72" s="48"/>
    </row>
    <row r="73" spans="2:11" s="19" customFormat="1" ht="16">
      <c r="B73" s="89" t="s">
        <v>99</v>
      </c>
      <c r="C73" s="14">
        <f>C72/16</f>
        <v>279.02934966216213</v>
      </c>
      <c r="D73" s="14">
        <f>D72/16</f>
        <v>0</v>
      </c>
      <c r="E73" s="8">
        <f>IF($F$9=0,C73,(C73+D73))</f>
        <v>279.02934966216213</v>
      </c>
      <c r="F73" s="130"/>
      <c r="G73" s="80">
        <f>SUM(F73*E73)</f>
        <v>0</v>
      </c>
      <c r="H73" s="75">
        <f>C73*F73</f>
        <v>0</v>
      </c>
      <c r="I73" s="12">
        <f>F73*J73</f>
        <v>0</v>
      </c>
      <c r="J73" s="12">
        <f>J72/16</f>
        <v>0.125</v>
      </c>
      <c r="K73" s="46"/>
    </row>
    <row r="74" spans="2:11" s="19" customFormat="1" ht="16">
      <c r="B74" s="89" t="s">
        <v>97</v>
      </c>
      <c r="C74" s="14">
        <f>(((C20*24)+(C14*24))*(11.33/24))+(((C14*24)+(C23*10))*2/24)</f>
        <v>9832.6681081081078</v>
      </c>
      <c r="D74" s="14">
        <f>(D20*24)*(11.33/24)+(((D23*10))*2/24)</f>
        <v>0</v>
      </c>
      <c r="E74" s="8">
        <f t="shared" si="5"/>
        <v>9832.6681081081078</v>
      </c>
      <c r="F74" s="66"/>
      <c r="G74" s="80">
        <f t="shared" si="1"/>
        <v>0</v>
      </c>
      <c r="H74" s="75">
        <f t="shared" si="2"/>
        <v>0</v>
      </c>
      <c r="I74" s="12">
        <f t="shared" si="3"/>
        <v>0</v>
      </c>
      <c r="J74" s="12">
        <v>2</v>
      </c>
      <c r="K74" s="46"/>
    </row>
    <row r="75" spans="2:11" s="19" customFormat="1" ht="16">
      <c r="B75" s="89" t="s">
        <v>100</v>
      </c>
      <c r="C75" s="14">
        <f>C74/24</f>
        <v>409.69450450450449</v>
      </c>
      <c r="D75" s="14">
        <f>D74/24</f>
        <v>0</v>
      </c>
      <c r="E75" s="8">
        <f>IF($F$9=0,C75,(C75+D75))</f>
        <v>409.69450450450449</v>
      </c>
      <c r="F75" s="130"/>
      <c r="G75" s="80">
        <f>SUM(F75*E75)</f>
        <v>0</v>
      </c>
      <c r="H75" s="75">
        <f>C75*F75</f>
        <v>0</v>
      </c>
      <c r="I75" s="12">
        <f>F75*J75</f>
        <v>0</v>
      </c>
      <c r="J75" s="20">
        <f>J74/24</f>
        <v>8.3333333333333329E-2</v>
      </c>
      <c r="K75" s="46"/>
    </row>
    <row r="76" spans="2:11" s="19" customFormat="1" ht="16">
      <c r="B76" s="79" t="s">
        <v>98</v>
      </c>
      <c r="C76" s="14">
        <f>(((C20*24)+(C23*10)+(C16*20/7)+(C14*32/7)))*((13.33*28.83/24/(24)))+(C14*16/7)</f>
        <v>14028.775421362212</v>
      </c>
      <c r="D76" s="14">
        <f>(((D20*24)+(D23*10)))*((13.33*28.83/24/(24)))</f>
        <v>0</v>
      </c>
      <c r="E76" s="8">
        <f t="shared" si="5"/>
        <v>14028.775421362212</v>
      </c>
      <c r="F76" s="66"/>
      <c r="G76" s="80">
        <f t="shared" si="1"/>
        <v>0</v>
      </c>
      <c r="H76" s="75">
        <f t="shared" si="2"/>
        <v>0</v>
      </c>
      <c r="I76" s="12">
        <f t="shared" si="3"/>
        <v>0</v>
      </c>
      <c r="J76" s="12">
        <v>0</v>
      </c>
      <c r="K76" s="40"/>
    </row>
    <row r="77" spans="2:11" s="19" customFormat="1" ht="16">
      <c r="B77" s="79" t="s">
        <v>101</v>
      </c>
      <c r="C77" s="14">
        <f>C76/24</f>
        <v>584.5323092234255</v>
      </c>
      <c r="D77" s="14">
        <f>D76/24</f>
        <v>0</v>
      </c>
      <c r="E77" s="8">
        <f t="shared" si="5"/>
        <v>584.5323092234255</v>
      </c>
      <c r="F77" s="130"/>
      <c r="G77" s="80">
        <f t="shared" si="1"/>
        <v>0</v>
      </c>
      <c r="H77" s="75">
        <f t="shared" si="2"/>
        <v>0</v>
      </c>
      <c r="I77" s="12">
        <f t="shared" si="3"/>
        <v>0</v>
      </c>
      <c r="J77" s="12">
        <v>0</v>
      </c>
      <c r="K77" s="46"/>
    </row>
    <row r="78" spans="2:11" s="19" customFormat="1" ht="16">
      <c r="B78" s="89" t="s">
        <v>102</v>
      </c>
      <c r="C78" s="14">
        <f>((C19*0.75)+(C21*0.25))</f>
        <v>486.55405405405401</v>
      </c>
      <c r="D78" s="14">
        <f>((D19*0.75)+(D21*0.25))</f>
        <v>0</v>
      </c>
      <c r="E78" s="8">
        <f t="shared" ref="E78:E103" si="7">IF($F$9=0,C78,(C78+D78))</f>
        <v>486.55405405405401</v>
      </c>
      <c r="F78" s="130"/>
      <c r="G78" s="80">
        <f t="shared" ref="G78:G103" si="8">SUM(F78*E78)</f>
        <v>0</v>
      </c>
      <c r="H78" s="75">
        <f t="shared" si="2"/>
        <v>0</v>
      </c>
      <c r="I78" s="12">
        <f t="shared" si="3"/>
        <v>0</v>
      </c>
      <c r="J78" s="12">
        <v>0.25</v>
      </c>
      <c r="K78" s="32"/>
    </row>
    <row r="79" spans="2:11" s="19" customFormat="1" ht="16">
      <c r="B79" s="89" t="s">
        <v>103</v>
      </c>
      <c r="C79" s="14">
        <f>((C20*0.75)+(C22*0.25))</f>
        <v>681.17567567567562</v>
      </c>
      <c r="D79" s="14">
        <f>((D20*0.75)+(D22*0.25))</f>
        <v>0</v>
      </c>
      <c r="E79" s="8">
        <f t="shared" si="7"/>
        <v>681.17567567567562</v>
      </c>
      <c r="F79" s="130"/>
      <c r="G79" s="80">
        <f t="shared" si="8"/>
        <v>0</v>
      </c>
      <c r="H79" s="75">
        <f t="shared" ref="H79:H103" si="9">C79*F79</f>
        <v>0</v>
      </c>
      <c r="I79" s="12">
        <f t="shared" si="3"/>
        <v>0</v>
      </c>
      <c r="J79" s="12">
        <v>0.25</v>
      </c>
      <c r="K79" s="32"/>
    </row>
    <row r="80" spans="2:11" s="19" customFormat="1" ht="16">
      <c r="B80" s="89" t="s">
        <v>104</v>
      </c>
      <c r="C80" s="14">
        <f>(C20+C15)*0.75+(C22+C15)*0.25</f>
        <v>746.17567567567562</v>
      </c>
      <c r="D80" s="14">
        <f>(D20)*0.75+(D22)*0.25</f>
        <v>0</v>
      </c>
      <c r="E80" s="8">
        <f t="shared" si="7"/>
        <v>746.17567567567562</v>
      </c>
      <c r="F80" s="130"/>
      <c r="G80" s="80">
        <f t="shared" si="8"/>
        <v>0</v>
      </c>
      <c r="H80" s="75">
        <f t="shared" si="9"/>
        <v>0</v>
      </c>
      <c r="I80" s="12">
        <f t="shared" si="3"/>
        <v>0</v>
      </c>
      <c r="J80" s="12">
        <v>0.25</v>
      </c>
      <c r="K80" s="32"/>
    </row>
    <row r="81" spans="2:11" s="19" customFormat="1" ht="17" thickBot="1">
      <c r="B81" s="90" t="s">
        <v>105</v>
      </c>
      <c r="C81" s="35">
        <f>C20+C15</f>
        <v>843.48648648648646</v>
      </c>
      <c r="D81" s="35">
        <f>D20</f>
        <v>0</v>
      </c>
      <c r="E81" s="36">
        <f t="shared" si="7"/>
        <v>843.48648648648646</v>
      </c>
      <c r="F81" s="131"/>
      <c r="G81" s="84">
        <f t="shared" si="8"/>
        <v>0</v>
      </c>
      <c r="H81" s="75">
        <f t="shared" si="9"/>
        <v>0</v>
      </c>
      <c r="I81" s="12">
        <f t="shared" si="3"/>
        <v>0</v>
      </c>
      <c r="J81" s="12">
        <v>0</v>
      </c>
      <c r="K81" s="40"/>
    </row>
    <row r="82" spans="2:11" s="19" customFormat="1" ht="16" hidden="1">
      <c r="B82" s="34" t="s">
        <v>34</v>
      </c>
      <c r="C82" s="16">
        <f>C72*1.5</f>
        <v>6696.7043918918916</v>
      </c>
      <c r="D82" s="16">
        <f>D72*1.5</f>
        <v>0</v>
      </c>
      <c r="E82" s="17">
        <f t="shared" si="7"/>
        <v>6696.7043918918916</v>
      </c>
      <c r="F82" s="114"/>
      <c r="G82" s="9">
        <f t="shared" si="8"/>
        <v>0</v>
      </c>
      <c r="H82" s="11">
        <f t="shared" si="9"/>
        <v>0</v>
      </c>
      <c r="I82" s="12">
        <f t="shared" si="3"/>
        <v>0</v>
      </c>
      <c r="J82" s="12">
        <v>2</v>
      </c>
      <c r="K82" s="40"/>
    </row>
    <row r="83" spans="2:11" s="19" customFormat="1" ht="16" hidden="1">
      <c r="B83" s="34" t="s">
        <v>35</v>
      </c>
      <c r="C83" s="14">
        <f>C74*1.5</f>
        <v>14749.002162162162</v>
      </c>
      <c r="D83" s="14">
        <f>D74*1.5</f>
        <v>0</v>
      </c>
      <c r="E83" s="8">
        <f t="shared" si="7"/>
        <v>14749.002162162162</v>
      </c>
      <c r="F83" s="115"/>
      <c r="G83" s="11">
        <f t="shared" si="8"/>
        <v>0</v>
      </c>
      <c r="H83" s="11">
        <f t="shared" si="9"/>
        <v>0</v>
      </c>
      <c r="I83" s="12">
        <f t="shared" si="3"/>
        <v>0</v>
      </c>
      <c r="J83" s="12">
        <v>2</v>
      </c>
      <c r="K83" s="40"/>
    </row>
    <row r="84" spans="2:11" s="19" customFormat="1" ht="16" hidden="1">
      <c r="B84" s="34" t="s">
        <v>36</v>
      </c>
      <c r="C84" s="14">
        <f>C76*1.5</f>
        <v>21043.163132043319</v>
      </c>
      <c r="D84" s="14">
        <f>D76*1.5</f>
        <v>0</v>
      </c>
      <c r="E84" s="8">
        <f t="shared" si="7"/>
        <v>21043.163132043319</v>
      </c>
      <c r="F84" s="115"/>
      <c r="G84" s="11">
        <f t="shared" si="8"/>
        <v>0</v>
      </c>
      <c r="H84" s="11">
        <f t="shared" si="9"/>
        <v>0</v>
      </c>
      <c r="I84" s="12">
        <f t="shared" si="3"/>
        <v>0</v>
      </c>
      <c r="J84" s="12">
        <v>0</v>
      </c>
      <c r="K84" s="40"/>
    </row>
    <row r="85" spans="2:11" s="19" customFormat="1" ht="16" hidden="1">
      <c r="B85" s="34" t="s">
        <v>37</v>
      </c>
      <c r="C85" s="14">
        <f>C82/16</f>
        <v>418.54402449324323</v>
      </c>
      <c r="D85" s="14">
        <f>D82/16</f>
        <v>0</v>
      </c>
      <c r="E85" s="8">
        <f t="shared" si="7"/>
        <v>418.54402449324323</v>
      </c>
      <c r="F85" s="115"/>
      <c r="G85" s="11">
        <f t="shared" si="8"/>
        <v>0</v>
      </c>
      <c r="H85" s="11">
        <f t="shared" si="9"/>
        <v>0</v>
      </c>
      <c r="I85" s="12">
        <f t="shared" si="3"/>
        <v>0</v>
      </c>
      <c r="J85" s="12">
        <f>J73</f>
        <v>0.125</v>
      </c>
      <c r="K85" s="40"/>
    </row>
    <row r="86" spans="2:11" s="19" customFormat="1" ht="16" hidden="1">
      <c r="B86" s="34" t="s">
        <v>38</v>
      </c>
      <c r="C86" s="14">
        <f>C83/24</f>
        <v>614.54175675675674</v>
      </c>
      <c r="D86" s="14">
        <f>D83/24</f>
        <v>0</v>
      </c>
      <c r="E86" s="8">
        <f t="shared" si="7"/>
        <v>614.54175675675674</v>
      </c>
      <c r="F86" s="115"/>
      <c r="G86" s="11">
        <f t="shared" si="8"/>
        <v>0</v>
      </c>
      <c r="H86" s="11">
        <f t="shared" si="9"/>
        <v>0</v>
      </c>
      <c r="I86" s="12">
        <f t="shared" si="3"/>
        <v>0</v>
      </c>
      <c r="J86" s="20">
        <f>J75</f>
        <v>8.3333333333333329E-2</v>
      </c>
      <c r="K86" s="40"/>
    </row>
    <row r="87" spans="2:11" s="19" customFormat="1" ht="17" hidden="1" thickBot="1">
      <c r="B87" s="41" t="s">
        <v>39</v>
      </c>
      <c r="C87" s="35">
        <f>C84/24</f>
        <v>876.79846383513825</v>
      </c>
      <c r="D87" s="35">
        <f>D84/24</f>
        <v>0</v>
      </c>
      <c r="E87" s="36">
        <f t="shared" si="7"/>
        <v>876.79846383513825</v>
      </c>
      <c r="F87" s="116"/>
      <c r="G87" s="37">
        <f t="shared" si="8"/>
        <v>0</v>
      </c>
      <c r="H87" s="37">
        <f t="shared" si="9"/>
        <v>0</v>
      </c>
      <c r="I87" s="38">
        <f t="shared" si="3"/>
        <v>0</v>
      </c>
      <c r="J87" s="38">
        <f>J77</f>
        <v>0</v>
      </c>
      <c r="K87" s="42"/>
    </row>
    <row r="88" spans="2:11" s="19" customFormat="1" ht="16" hidden="1">
      <c r="B88" s="43" t="s">
        <v>40</v>
      </c>
      <c r="C88" s="27">
        <f>(((C20*10)+(C19*6))*(5/16))+(((C16*4)+(C23*10))*4/16)</f>
        <v>3990.4155405405404</v>
      </c>
      <c r="D88" s="27">
        <f>(((D20*10)+(D19*6))*(5/16))+(((D23*10))*4/16)</f>
        <v>0</v>
      </c>
      <c r="E88" s="28">
        <f t="shared" si="7"/>
        <v>3990.4155405405404</v>
      </c>
      <c r="F88" s="117"/>
      <c r="G88" s="29">
        <f t="shared" si="8"/>
        <v>0</v>
      </c>
      <c r="H88" s="29">
        <f t="shared" si="9"/>
        <v>0</v>
      </c>
      <c r="I88" s="30">
        <f t="shared" si="3"/>
        <v>0</v>
      </c>
      <c r="J88" s="30">
        <v>4</v>
      </c>
      <c r="K88" s="48"/>
    </row>
    <row r="89" spans="2:11" s="19" customFormat="1" ht="16" hidden="1">
      <c r="B89" s="34" t="s">
        <v>41</v>
      </c>
      <c r="C89" s="14">
        <f>(((C20*24)+(C14*24))*(7.67/24))+(((C15*24)+(C23*10))*4/24)</f>
        <v>7021.4737837837829</v>
      </c>
      <c r="D89" s="14">
        <f>(((D20*24)*(7.67/24))+(((D23*10))*4/24))</f>
        <v>0</v>
      </c>
      <c r="E89" s="8">
        <f t="shared" si="7"/>
        <v>7021.4737837837829</v>
      </c>
      <c r="F89" s="115"/>
      <c r="G89" s="11">
        <f t="shared" si="8"/>
        <v>0</v>
      </c>
      <c r="H89" s="11">
        <f t="shared" si="9"/>
        <v>0</v>
      </c>
      <c r="I89" s="12">
        <f t="shared" si="3"/>
        <v>0</v>
      </c>
      <c r="J89" s="12">
        <v>4</v>
      </c>
      <c r="K89" s="46"/>
    </row>
    <row r="90" spans="2:11" s="19" customFormat="1" ht="16" hidden="1">
      <c r="B90" s="34" t="s">
        <v>42</v>
      </c>
      <c r="C90" s="14">
        <f>((C20*24)+(C23*10))*((39.833/3)/24)+((((C16*20)+(C14*48))/7))*((39.833/3)/24)</f>
        <v>11591.631557003431</v>
      </c>
      <c r="D90" s="14">
        <f>((D20*24)+(D23*10))*(39.833/3/24)</f>
        <v>0</v>
      </c>
      <c r="E90" s="8">
        <f t="shared" si="7"/>
        <v>11591.631557003431</v>
      </c>
      <c r="F90" s="115"/>
      <c r="G90" s="11">
        <f t="shared" si="8"/>
        <v>0</v>
      </c>
      <c r="H90" s="11">
        <f t="shared" si="9"/>
        <v>0</v>
      </c>
      <c r="I90" s="12">
        <f t="shared" si="3"/>
        <v>0</v>
      </c>
      <c r="J90" s="12">
        <v>0</v>
      </c>
      <c r="K90" s="33"/>
    </row>
    <row r="91" spans="2:11" s="19" customFormat="1" ht="16" hidden="1">
      <c r="B91" s="34" t="s">
        <v>43</v>
      </c>
      <c r="C91" s="14">
        <f>C88/16</f>
        <v>249.40097128378378</v>
      </c>
      <c r="D91" s="14">
        <f>D88/16</f>
        <v>0</v>
      </c>
      <c r="E91" s="8">
        <f t="shared" si="7"/>
        <v>249.40097128378378</v>
      </c>
      <c r="F91" s="115"/>
      <c r="G91" s="11">
        <f t="shared" si="8"/>
        <v>0</v>
      </c>
      <c r="H91" s="11">
        <f t="shared" si="9"/>
        <v>0</v>
      </c>
      <c r="I91" s="12">
        <f t="shared" si="3"/>
        <v>0</v>
      </c>
      <c r="J91" s="12">
        <f>J88/16</f>
        <v>0.25</v>
      </c>
      <c r="K91" s="46"/>
    </row>
    <row r="92" spans="2:11" s="19" customFormat="1" ht="16" hidden="1">
      <c r="B92" s="34" t="s">
        <v>44</v>
      </c>
      <c r="C92" s="14">
        <f>C89/24</f>
        <v>292.56140765765764</v>
      </c>
      <c r="D92" s="14">
        <f>D89/24</f>
        <v>0</v>
      </c>
      <c r="E92" s="8">
        <f t="shared" si="7"/>
        <v>292.56140765765764</v>
      </c>
      <c r="F92" s="115"/>
      <c r="G92" s="11">
        <f t="shared" si="8"/>
        <v>0</v>
      </c>
      <c r="H92" s="11">
        <f t="shared" si="9"/>
        <v>0</v>
      </c>
      <c r="I92" s="12">
        <f t="shared" ref="I92:I102" si="10">F92*J92</f>
        <v>0</v>
      </c>
      <c r="J92" s="20">
        <f>J89/24</f>
        <v>0.16666666666666666</v>
      </c>
      <c r="K92" s="46"/>
    </row>
    <row r="93" spans="2:11" s="19" customFormat="1" ht="17" hidden="1" thickBot="1">
      <c r="B93" s="41" t="s">
        <v>45</v>
      </c>
      <c r="C93" s="35">
        <f>C90/24</f>
        <v>482.9846482084763</v>
      </c>
      <c r="D93" s="35">
        <f>D90/24</f>
        <v>0</v>
      </c>
      <c r="E93" s="36">
        <f t="shared" si="7"/>
        <v>482.9846482084763</v>
      </c>
      <c r="F93" s="116"/>
      <c r="G93" s="37">
        <f t="shared" si="8"/>
        <v>0</v>
      </c>
      <c r="H93" s="37">
        <f t="shared" si="9"/>
        <v>0</v>
      </c>
      <c r="I93" s="38">
        <f t="shared" si="10"/>
        <v>0</v>
      </c>
      <c r="J93" s="38">
        <v>0</v>
      </c>
      <c r="K93" s="47"/>
    </row>
    <row r="94" spans="2:11" s="19" customFormat="1" ht="16" hidden="1">
      <c r="B94" s="43" t="s">
        <v>46</v>
      </c>
      <c r="C94" s="27">
        <f>(((C20*10)+(C19*6))*(5/16))+(((C16*4)+(C23*10))*4/16)</f>
        <v>3990.4155405405404</v>
      </c>
      <c r="D94" s="27">
        <f>(((D20*10)+(D19*6))*(5/16))+(((D23*10))*4/16)</f>
        <v>0</v>
      </c>
      <c r="E94" s="28">
        <f t="shared" si="7"/>
        <v>3990.4155405405404</v>
      </c>
      <c r="F94" s="117"/>
      <c r="G94" s="29">
        <f t="shared" si="8"/>
        <v>0</v>
      </c>
      <c r="H94" s="29">
        <f t="shared" si="9"/>
        <v>0</v>
      </c>
      <c r="I94" s="30">
        <f t="shared" si="10"/>
        <v>0</v>
      </c>
      <c r="J94" s="30">
        <v>4</v>
      </c>
      <c r="K94" s="48"/>
    </row>
    <row r="95" spans="2:11" s="19" customFormat="1" ht="16" hidden="1">
      <c r="B95" s="34" t="s">
        <v>47</v>
      </c>
      <c r="C95" s="14">
        <f>(((C20*24)+(C14*24))*(7.67/24))+(((C15*24)+(C23*10))*4/24)</f>
        <v>7021.4737837837829</v>
      </c>
      <c r="D95" s="14">
        <f>(((D20*24))*(7.67/24))+(((D23*10))*4/24)</f>
        <v>0</v>
      </c>
      <c r="E95" s="8">
        <f t="shared" si="7"/>
        <v>7021.4737837837829</v>
      </c>
      <c r="F95" s="115"/>
      <c r="G95" s="11">
        <f t="shared" si="8"/>
        <v>0</v>
      </c>
      <c r="H95" s="11">
        <f t="shared" si="9"/>
        <v>0</v>
      </c>
      <c r="I95" s="12">
        <f t="shared" si="10"/>
        <v>0</v>
      </c>
      <c r="J95" s="12">
        <v>4</v>
      </c>
      <c r="K95" s="46"/>
    </row>
    <row r="96" spans="2:11" s="19" customFormat="1" ht="16" hidden="1">
      <c r="B96" s="34" t="s">
        <v>48</v>
      </c>
      <c r="C96" s="7">
        <f>((C20*24)+(C23*10))*((39.833/3)/24)+((((C16*20)+(C14*48))/7))*((39.833/3)/24)</f>
        <v>11591.631557003431</v>
      </c>
      <c r="D96" s="7">
        <f>((D20*24)+(D23*10))*((39.833/3)/24)</f>
        <v>0</v>
      </c>
      <c r="E96" s="8">
        <f t="shared" si="7"/>
        <v>11591.631557003431</v>
      </c>
      <c r="F96" s="115"/>
      <c r="G96" s="11">
        <f t="shared" si="8"/>
        <v>0</v>
      </c>
      <c r="H96" s="11">
        <f t="shared" si="9"/>
        <v>0</v>
      </c>
      <c r="I96" s="12">
        <f t="shared" si="10"/>
        <v>0</v>
      </c>
      <c r="J96" s="12">
        <v>0</v>
      </c>
      <c r="K96" s="33"/>
    </row>
    <row r="97" spans="2:11" s="19" customFormat="1" ht="16" hidden="1">
      <c r="B97" s="34" t="s">
        <v>49</v>
      </c>
      <c r="C97" s="7">
        <f>C94/16</f>
        <v>249.40097128378378</v>
      </c>
      <c r="D97" s="14">
        <f>D94/16</f>
        <v>0</v>
      </c>
      <c r="E97" s="8">
        <f t="shared" si="7"/>
        <v>249.40097128378378</v>
      </c>
      <c r="F97" s="115"/>
      <c r="G97" s="11">
        <f t="shared" si="8"/>
        <v>0</v>
      </c>
      <c r="H97" s="11">
        <f t="shared" si="9"/>
        <v>0</v>
      </c>
      <c r="I97" s="12">
        <f t="shared" si="10"/>
        <v>0</v>
      </c>
      <c r="J97" s="12">
        <f>J94/16</f>
        <v>0.25</v>
      </c>
      <c r="K97" s="46"/>
    </row>
    <row r="98" spans="2:11" s="19" customFormat="1" ht="16" hidden="1">
      <c r="B98" s="34" t="s">
        <v>50</v>
      </c>
      <c r="C98" s="7">
        <f>C95/24</f>
        <v>292.56140765765764</v>
      </c>
      <c r="D98" s="14">
        <f>D95/24</f>
        <v>0</v>
      </c>
      <c r="E98" s="8">
        <f t="shared" si="7"/>
        <v>292.56140765765764</v>
      </c>
      <c r="F98" s="115"/>
      <c r="G98" s="11">
        <f t="shared" si="8"/>
        <v>0</v>
      </c>
      <c r="H98" s="11">
        <f t="shared" si="9"/>
        <v>0</v>
      </c>
      <c r="I98" s="12">
        <f t="shared" si="10"/>
        <v>0</v>
      </c>
      <c r="J98" s="20">
        <f>J95/24</f>
        <v>0.16666666666666666</v>
      </c>
      <c r="K98" s="46"/>
    </row>
    <row r="99" spans="2:11" s="19" customFormat="1" ht="16" hidden="1">
      <c r="B99" s="34" t="s">
        <v>51</v>
      </c>
      <c r="C99" s="7">
        <f>C96/24</f>
        <v>482.9846482084763</v>
      </c>
      <c r="D99" s="14">
        <f>D96/24</f>
        <v>0</v>
      </c>
      <c r="E99" s="8">
        <f t="shared" si="7"/>
        <v>482.9846482084763</v>
      </c>
      <c r="F99" s="115"/>
      <c r="G99" s="11">
        <f t="shared" si="8"/>
        <v>0</v>
      </c>
      <c r="H99" s="11">
        <f t="shared" si="9"/>
        <v>0</v>
      </c>
      <c r="I99" s="12">
        <f t="shared" si="10"/>
        <v>0</v>
      </c>
      <c r="J99" s="12">
        <v>0</v>
      </c>
      <c r="K99" s="46"/>
    </row>
    <row r="100" spans="2:11" s="19" customFormat="1" ht="16" hidden="1">
      <c r="B100" s="34" t="s">
        <v>52</v>
      </c>
      <c r="C100" s="7">
        <f>C19</f>
        <v>583.86486486486478</v>
      </c>
      <c r="D100" s="7">
        <f>D19</f>
        <v>0</v>
      </c>
      <c r="E100" s="8">
        <f t="shared" si="7"/>
        <v>583.86486486486478</v>
      </c>
      <c r="F100" s="115"/>
      <c r="G100" s="11">
        <f t="shared" si="8"/>
        <v>0</v>
      </c>
      <c r="H100" s="11">
        <f t="shared" si="9"/>
        <v>0</v>
      </c>
      <c r="I100" s="12">
        <f t="shared" si="10"/>
        <v>0</v>
      </c>
      <c r="J100" s="12">
        <v>0</v>
      </c>
      <c r="K100" s="46"/>
    </row>
    <row r="101" spans="2:11" s="19" customFormat="1" ht="16" hidden="1">
      <c r="B101" s="34" t="s">
        <v>53</v>
      </c>
      <c r="C101" s="7">
        <f>C20</f>
        <v>778.48648648648646</v>
      </c>
      <c r="D101" s="14">
        <f>D20</f>
        <v>0</v>
      </c>
      <c r="E101" s="8">
        <f t="shared" si="7"/>
        <v>778.48648648648646</v>
      </c>
      <c r="F101" s="115"/>
      <c r="G101" s="11">
        <f t="shared" si="8"/>
        <v>0</v>
      </c>
      <c r="H101" s="11">
        <f t="shared" si="9"/>
        <v>0</v>
      </c>
      <c r="I101" s="12">
        <f t="shared" si="10"/>
        <v>0</v>
      </c>
      <c r="J101" s="12">
        <v>0</v>
      </c>
      <c r="K101" s="46"/>
    </row>
    <row r="102" spans="2:11" s="19" customFormat="1" ht="16" hidden="1">
      <c r="B102" s="34" t="s">
        <v>54</v>
      </c>
      <c r="C102" s="7">
        <f>C20+C14</f>
        <v>843.48648648648646</v>
      </c>
      <c r="D102" s="14">
        <f>D20</f>
        <v>0</v>
      </c>
      <c r="E102" s="8">
        <f t="shared" si="7"/>
        <v>843.48648648648646</v>
      </c>
      <c r="F102" s="115"/>
      <c r="G102" s="11">
        <f t="shared" si="8"/>
        <v>0</v>
      </c>
      <c r="H102" s="11">
        <f t="shared" si="9"/>
        <v>0</v>
      </c>
      <c r="I102" s="12">
        <f t="shared" si="10"/>
        <v>0</v>
      </c>
      <c r="J102" s="12">
        <v>0</v>
      </c>
      <c r="K102" s="46"/>
    </row>
    <row r="103" spans="2:11" s="19" customFormat="1" ht="17" hidden="1" thickBot="1">
      <c r="B103" s="41" t="s">
        <v>55</v>
      </c>
      <c r="C103" s="49">
        <f>(C20+C14)</f>
        <v>843.48648648648646</v>
      </c>
      <c r="D103" s="35">
        <f>D20</f>
        <v>0</v>
      </c>
      <c r="E103" s="36">
        <f t="shared" si="7"/>
        <v>843.48648648648646</v>
      </c>
      <c r="F103" s="116"/>
      <c r="G103" s="37">
        <f t="shared" si="8"/>
        <v>0</v>
      </c>
      <c r="H103" s="37">
        <f t="shared" si="9"/>
        <v>0</v>
      </c>
      <c r="I103" s="38">
        <v>0</v>
      </c>
      <c r="J103" s="38">
        <v>0</v>
      </c>
      <c r="K103" s="42"/>
    </row>
    <row r="104" spans="2:11" ht="14" thickBot="1">
      <c r="C104" s="25"/>
      <c r="D104" s="26"/>
      <c r="E104" s="26"/>
    </row>
    <row r="105" spans="2:11">
      <c r="B105" s="101" t="s">
        <v>71</v>
      </c>
      <c r="C105" s="102">
        <f>E11</f>
        <v>720100</v>
      </c>
      <c r="D105" s="99"/>
    </row>
    <row r="106" spans="2:11">
      <c r="B106" s="103" t="s">
        <v>70</v>
      </c>
      <c r="C106" s="104">
        <f>E11+F9</f>
        <v>720100</v>
      </c>
      <c r="D106" s="99"/>
      <c r="E106" s="64"/>
      <c r="F106" s="1"/>
      <c r="G106" s="97"/>
    </row>
    <row r="107" spans="2:11">
      <c r="B107" s="103" t="s">
        <v>78</v>
      </c>
      <c r="C107" s="104">
        <f>SUM(H14:H103)</f>
        <v>0</v>
      </c>
      <c r="D107" s="99"/>
    </row>
    <row r="108" spans="2:11">
      <c r="B108" s="103" t="s">
        <v>77</v>
      </c>
      <c r="C108" s="104">
        <f>SUM(G14:G103)</f>
        <v>0</v>
      </c>
      <c r="D108" s="99"/>
      <c r="F108" s="1"/>
    </row>
    <row r="109" spans="2:11">
      <c r="B109" s="105" t="s">
        <v>73</v>
      </c>
      <c r="C109" s="104">
        <f>C108-(SUM(H14:H103))</f>
        <v>0</v>
      </c>
      <c r="D109" s="100"/>
      <c r="F109" s="1"/>
    </row>
    <row r="110" spans="2:11">
      <c r="B110" s="105" t="s">
        <v>76</v>
      </c>
      <c r="C110" s="104">
        <f>F9</f>
        <v>0</v>
      </c>
      <c r="D110" s="100"/>
      <c r="F110" s="1"/>
    </row>
    <row r="111" spans="2:11">
      <c r="B111" s="105" t="s">
        <v>75</v>
      </c>
      <c r="C111" s="104">
        <f>C108-(SUM(H14:H103))+F9</f>
        <v>0</v>
      </c>
      <c r="D111" s="100"/>
      <c r="F111" s="1"/>
    </row>
    <row r="112" spans="2:11" ht="14" thickBot="1">
      <c r="B112" s="106" t="s">
        <v>72</v>
      </c>
      <c r="C112" s="107">
        <f>C108+C106</f>
        <v>720100</v>
      </c>
      <c r="D112" s="99"/>
    </row>
    <row r="113" spans="2:6" ht="14" thickBot="1">
      <c r="B113" s="6"/>
      <c r="C113" s="6"/>
      <c r="F113" s="1"/>
    </row>
    <row r="114" spans="2:6" ht="14" thickBot="1">
      <c r="B114" s="108" t="s">
        <v>79</v>
      </c>
      <c r="C114" s="109">
        <f>SUM(I14:I103)</f>
        <v>0</v>
      </c>
    </row>
    <row r="115" spans="2:6">
      <c r="F115" s="1"/>
    </row>
  </sheetData>
  <sheetProtection algorithmName="SHA-512" hashValue="v6YvSpa6JKS//MwWoX32AenT9SdyrsqBNQxxZFSEBqjZ4ng+weTkrIPShWwhEY4mtgk7E13tP9zuyMLF3b+78g==" saltValue="EkswPn/5dO8l9L2BAHCCYA==" spinCount="100000" sheet="1" objects="1" scenarios="1" selectLockedCells="1"/>
  <mergeCells count="4">
    <mergeCell ref="F9:G9"/>
    <mergeCell ref="F8:G8"/>
    <mergeCell ref="B4:G4"/>
    <mergeCell ref="B5:G5"/>
  </mergeCells>
  <phoneticPr fontId="36" type="noConversion"/>
  <pageMargins left="0.75" right="0.75" top="1" bottom="1" header="0.5" footer="0.5"/>
  <pageSetup paperSize="9" scale="43" orientation="portrait"/>
  <headerFooter alignWithMargins="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F96AD5-F2CF-E843-A5DD-6464BA8AE9A2}">
          <x14:formula1>
            <xm:f>'A-tabell'!$A$2:$A$84</xm:f>
          </x14:formula1>
          <xm:sqref>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9CE29-9838-3545-8FEA-805033C417E0}">
  <dimension ref="A1:L84"/>
  <sheetViews>
    <sheetView zoomScale="150" workbookViewId="0">
      <selection activeCell="C2" sqref="C2:C84"/>
    </sheetView>
  </sheetViews>
  <sheetFormatPr baseColWidth="10" defaultRowHeight="13"/>
  <cols>
    <col min="4" max="4" width="10.83203125" style="63"/>
    <col min="7" max="7" width="12.1640625" bestFit="1" customWidth="1"/>
    <col min="8" max="8" width="6" bestFit="1" customWidth="1"/>
    <col min="12" max="12" width="13.83203125" bestFit="1" customWidth="1"/>
    <col min="13" max="13" width="11.83203125" bestFit="1" customWidth="1"/>
  </cols>
  <sheetData>
    <row r="1" spans="1:12">
      <c r="A1" s="62" t="s">
        <v>69</v>
      </c>
      <c r="B1" s="138" t="s">
        <v>117</v>
      </c>
      <c r="C1" s="138" t="s">
        <v>118</v>
      </c>
      <c r="D1" s="140" t="s">
        <v>114</v>
      </c>
      <c r="E1" s="137" t="s">
        <v>111</v>
      </c>
      <c r="F1" s="137" t="s">
        <v>115</v>
      </c>
      <c r="G1" s="138" t="s">
        <v>110</v>
      </c>
      <c r="H1" s="137" t="s">
        <v>112</v>
      </c>
      <c r="I1" s="137" t="s">
        <v>109</v>
      </c>
      <c r="J1" s="137" t="s">
        <v>113</v>
      </c>
      <c r="K1" s="137" t="s">
        <v>111</v>
      </c>
      <c r="L1" s="137"/>
    </row>
    <row r="2" spans="1:12">
      <c r="A2">
        <v>19</v>
      </c>
      <c r="B2" s="63">
        <f>D2+31000</f>
        <v>350800</v>
      </c>
      <c r="C2" s="63">
        <v>31000</v>
      </c>
      <c r="D2" s="63">
        <v>319800</v>
      </c>
      <c r="E2" s="63">
        <v>309800</v>
      </c>
      <c r="F2" s="63">
        <f>D2-E2</f>
        <v>10000</v>
      </c>
      <c r="G2" s="63">
        <v>300300</v>
      </c>
      <c r="H2">
        <v>1300</v>
      </c>
      <c r="I2" s="63">
        <v>301600</v>
      </c>
      <c r="J2" s="63">
        <f>K2-I2</f>
        <v>8200</v>
      </c>
      <c r="K2" s="63">
        <v>309800</v>
      </c>
      <c r="L2" s="63"/>
    </row>
    <row r="3" spans="1:12">
      <c r="A3">
        <v>20</v>
      </c>
      <c r="B3" s="63">
        <f t="shared" ref="B3:B66" si="0">D3+31000</f>
        <v>354300</v>
      </c>
      <c r="C3" s="63">
        <v>31000</v>
      </c>
      <c r="D3" s="63">
        <v>323300</v>
      </c>
      <c r="E3" s="63">
        <v>313300</v>
      </c>
      <c r="F3" s="63">
        <f t="shared" ref="F3:F66" si="1">D3-E3</f>
        <v>10000</v>
      </c>
      <c r="G3" s="63">
        <v>303800</v>
      </c>
      <c r="H3">
        <v>1300</v>
      </c>
      <c r="I3" s="63">
        <v>305100</v>
      </c>
      <c r="J3" s="63">
        <f t="shared" ref="J3:J66" si="2">K3-I3</f>
        <v>8200</v>
      </c>
      <c r="K3" s="63">
        <v>313300</v>
      </c>
      <c r="L3" s="63"/>
    </row>
    <row r="4" spans="1:12">
      <c r="A4">
        <v>21</v>
      </c>
      <c r="B4" s="63">
        <f t="shared" si="0"/>
        <v>358300</v>
      </c>
      <c r="C4" s="63">
        <v>31000</v>
      </c>
      <c r="D4" s="63">
        <v>327300</v>
      </c>
      <c r="E4" s="63">
        <v>317300</v>
      </c>
      <c r="F4" s="63">
        <f t="shared" si="1"/>
        <v>10000</v>
      </c>
      <c r="G4" s="63">
        <v>307600</v>
      </c>
      <c r="H4">
        <v>1400</v>
      </c>
      <c r="I4" s="63">
        <v>309000</v>
      </c>
      <c r="J4" s="63">
        <f t="shared" si="2"/>
        <v>8300</v>
      </c>
      <c r="K4" s="63">
        <v>317300</v>
      </c>
      <c r="L4" s="63"/>
    </row>
    <row r="5" spans="1:12">
      <c r="A5">
        <v>22</v>
      </c>
      <c r="B5" s="63">
        <f t="shared" si="0"/>
        <v>361900</v>
      </c>
      <c r="C5" s="63">
        <v>31000</v>
      </c>
      <c r="D5" s="63">
        <v>330900</v>
      </c>
      <c r="E5" s="63">
        <v>320900</v>
      </c>
      <c r="F5" s="63">
        <f t="shared" si="1"/>
        <v>10000</v>
      </c>
      <c r="G5" s="63">
        <v>311200</v>
      </c>
      <c r="H5">
        <v>1400</v>
      </c>
      <c r="I5" s="63">
        <v>312600</v>
      </c>
      <c r="J5" s="63">
        <f t="shared" si="2"/>
        <v>8300</v>
      </c>
      <c r="K5" s="63">
        <v>320900</v>
      </c>
      <c r="L5" s="63"/>
    </row>
    <row r="6" spans="1:12">
      <c r="A6">
        <v>23</v>
      </c>
      <c r="B6" s="63">
        <f t="shared" si="0"/>
        <v>365800</v>
      </c>
      <c r="C6" s="63">
        <v>31000</v>
      </c>
      <c r="D6" s="63">
        <v>334800</v>
      </c>
      <c r="E6" s="63">
        <v>324800</v>
      </c>
      <c r="F6" s="63">
        <f t="shared" si="1"/>
        <v>10000</v>
      </c>
      <c r="G6" s="63">
        <v>315100</v>
      </c>
      <c r="H6">
        <v>1400</v>
      </c>
      <c r="I6" s="63">
        <v>316500</v>
      </c>
      <c r="J6" s="63">
        <f t="shared" si="2"/>
        <v>8300</v>
      </c>
      <c r="K6" s="63">
        <v>324800</v>
      </c>
      <c r="L6" s="63"/>
    </row>
    <row r="7" spans="1:12">
      <c r="A7">
        <v>24</v>
      </c>
      <c r="B7" s="63">
        <f t="shared" si="0"/>
        <v>369800</v>
      </c>
      <c r="C7" s="63">
        <v>31000</v>
      </c>
      <c r="D7" s="63">
        <v>338800</v>
      </c>
      <c r="E7" s="63">
        <v>328800</v>
      </c>
      <c r="F7" s="63">
        <f t="shared" si="1"/>
        <v>10000</v>
      </c>
      <c r="G7" s="63">
        <v>319000</v>
      </c>
      <c r="H7">
        <v>1400</v>
      </c>
      <c r="I7" s="63">
        <v>320400</v>
      </c>
      <c r="J7" s="63">
        <f t="shared" si="2"/>
        <v>8400</v>
      </c>
      <c r="K7" s="63">
        <v>328800</v>
      </c>
      <c r="L7" s="63"/>
    </row>
    <row r="8" spans="1:12">
      <c r="A8">
        <v>25</v>
      </c>
      <c r="B8" s="63">
        <f t="shared" si="0"/>
        <v>374000</v>
      </c>
      <c r="C8" s="63">
        <v>31000</v>
      </c>
      <c r="D8" s="63">
        <v>343000</v>
      </c>
      <c r="E8" s="63">
        <v>333000</v>
      </c>
      <c r="F8" s="63">
        <f t="shared" si="1"/>
        <v>10000</v>
      </c>
      <c r="G8" s="63">
        <v>323200</v>
      </c>
      <c r="H8">
        <v>1400</v>
      </c>
      <c r="I8" s="63">
        <v>324600</v>
      </c>
      <c r="J8" s="63">
        <f t="shared" si="2"/>
        <v>8400</v>
      </c>
      <c r="K8" s="63">
        <v>333000</v>
      </c>
      <c r="L8" s="63"/>
    </row>
    <row r="9" spans="1:12">
      <c r="A9">
        <v>26</v>
      </c>
      <c r="B9" s="63">
        <f t="shared" si="0"/>
        <v>378300</v>
      </c>
      <c r="C9" s="63">
        <v>31000</v>
      </c>
      <c r="D9" s="63">
        <v>347300</v>
      </c>
      <c r="E9" s="63">
        <v>337300</v>
      </c>
      <c r="F9" s="63">
        <f t="shared" si="1"/>
        <v>10000</v>
      </c>
      <c r="G9" s="63">
        <v>327400</v>
      </c>
      <c r="H9">
        <v>1400</v>
      </c>
      <c r="I9" s="63">
        <v>328800</v>
      </c>
      <c r="J9" s="63">
        <f t="shared" si="2"/>
        <v>8500</v>
      </c>
      <c r="K9" s="63">
        <v>337300</v>
      </c>
      <c r="L9" s="63"/>
    </row>
    <row r="10" spans="1:12">
      <c r="A10">
        <v>27</v>
      </c>
      <c r="B10" s="63">
        <f t="shared" si="0"/>
        <v>382300</v>
      </c>
      <c r="C10" s="63">
        <v>31000</v>
      </c>
      <c r="D10" s="63">
        <v>351300</v>
      </c>
      <c r="E10" s="63">
        <v>341300</v>
      </c>
      <c r="F10" s="63">
        <f t="shared" si="1"/>
        <v>10000</v>
      </c>
      <c r="G10" s="63">
        <v>331300</v>
      </c>
      <c r="H10">
        <v>1500</v>
      </c>
      <c r="I10" s="63">
        <v>332800</v>
      </c>
      <c r="J10" s="63">
        <f t="shared" si="2"/>
        <v>8500</v>
      </c>
      <c r="K10" s="63">
        <v>341300</v>
      </c>
      <c r="L10" s="63"/>
    </row>
    <row r="11" spans="1:12">
      <c r="A11">
        <v>28</v>
      </c>
      <c r="B11" s="63">
        <f t="shared" si="0"/>
        <v>386300</v>
      </c>
      <c r="C11" s="63">
        <v>31000</v>
      </c>
      <c r="D11" s="63">
        <v>355300</v>
      </c>
      <c r="E11" s="63">
        <v>345300</v>
      </c>
      <c r="F11" s="63">
        <f t="shared" si="1"/>
        <v>10000</v>
      </c>
      <c r="G11" s="63">
        <v>335300</v>
      </c>
      <c r="H11">
        <v>1500</v>
      </c>
      <c r="I11" s="63">
        <v>336800</v>
      </c>
      <c r="J11" s="63">
        <f t="shared" si="2"/>
        <v>8500</v>
      </c>
      <c r="K11" s="63">
        <v>345300</v>
      </c>
      <c r="L11" s="63"/>
    </row>
    <row r="12" spans="1:12">
      <c r="A12">
        <v>29</v>
      </c>
      <c r="B12" s="63">
        <f t="shared" si="0"/>
        <v>390100</v>
      </c>
      <c r="C12" s="63">
        <v>31000</v>
      </c>
      <c r="D12" s="63">
        <v>359100</v>
      </c>
      <c r="E12" s="63">
        <v>349100</v>
      </c>
      <c r="F12" s="63">
        <f t="shared" si="1"/>
        <v>10000</v>
      </c>
      <c r="G12" s="63">
        <v>339000</v>
      </c>
      <c r="H12">
        <v>1500</v>
      </c>
      <c r="I12" s="63">
        <v>340500</v>
      </c>
      <c r="J12" s="63">
        <f t="shared" si="2"/>
        <v>8600</v>
      </c>
      <c r="K12" s="63">
        <v>349100</v>
      </c>
      <c r="L12" s="63"/>
    </row>
    <row r="13" spans="1:12">
      <c r="A13">
        <v>30</v>
      </c>
      <c r="B13" s="63">
        <f t="shared" si="0"/>
        <v>394100</v>
      </c>
      <c r="C13" s="63">
        <v>31000</v>
      </c>
      <c r="D13" s="63">
        <v>363100</v>
      </c>
      <c r="E13" s="63">
        <v>353100</v>
      </c>
      <c r="F13" s="63">
        <f t="shared" si="1"/>
        <v>10000</v>
      </c>
      <c r="G13" s="63">
        <v>343000</v>
      </c>
      <c r="H13">
        <v>1500</v>
      </c>
      <c r="I13" s="63">
        <v>344500</v>
      </c>
      <c r="J13" s="63">
        <f t="shared" si="2"/>
        <v>8600</v>
      </c>
      <c r="K13" s="63">
        <v>353100</v>
      </c>
      <c r="L13" s="63"/>
    </row>
    <row r="14" spans="1:12">
      <c r="A14">
        <v>31</v>
      </c>
      <c r="B14" s="63">
        <f t="shared" si="0"/>
        <v>397700</v>
      </c>
      <c r="C14" s="63">
        <v>31000</v>
      </c>
      <c r="D14" s="63">
        <v>366700</v>
      </c>
      <c r="E14" s="63">
        <v>356700</v>
      </c>
      <c r="F14" s="63">
        <f t="shared" si="1"/>
        <v>10000</v>
      </c>
      <c r="G14" s="63">
        <v>346600</v>
      </c>
      <c r="H14">
        <v>1500</v>
      </c>
      <c r="I14" s="63">
        <v>348100</v>
      </c>
      <c r="J14" s="63">
        <f t="shared" si="2"/>
        <v>8600</v>
      </c>
      <c r="K14" s="63">
        <v>356700</v>
      </c>
      <c r="L14" s="63"/>
    </row>
    <row r="15" spans="1:12">
      <c r="A15">
        <v>32</v>
      </c>
      <c r="B15" s="63">
        <f t="shared" si="0"/>
        <v>401900</v>
      </c>
      <c r="C15" s="63">
        <v>31000</v>
      </c>
      <c r="D15" s="63">
        <v>370900</v>
      </c>
      <c r="E15" s="63">
        <v>360900</v>
      </c>
      <c r="F15" s="63">
        <f t="shared" si="1"/>
        <v>10000</v>
      </c>
      <c r="G15" s="63">
        <v>350700</v>
      </c>
      <c r="H15">
        <v>1500</v>
      </c>
      <c r="I15" s="63">
        <v>352200</v>
      </c>
      <c r="J15" s="63">
        <f t="shared" si="2"/>
        <v>8700</v>
      </c>
      <c r="K15" s="63">
        <v>360900</v>
      </c>
      <c r="L15" s="63"/>
    </row>
    <row r="16" spans="1:12">
      <c r="A16">
        <v>33</v>
      </c>
      <c r="B16" s="63">
        <f t="shared" si="0"/>
        <v>405800</v>
      </c>
      <c r="C16" s="63">
        <v>31000</v>
      </c>
      <c r="D16" s="63">
        <v>374800</v>
      </c>
      <c r="E16" s="63">
        <v>364800</v>
      </c>
      <c r="F16" s="63">
        <f t="shared" si="1"/>
        <v>10000</v>
      </c>
      <c r="G16" s="63">
        <v>354500</v>
      </c>
      <c r="H16">
        <v>1600</v>
      </c>
      <c r="I16" s="63">
        <v>356100</v>
      </c>
      <c r="J16" s="63">
        <f t="shared" si="2"/>
        <v>8700</v>
      </c>
      <c r="K16" s="63">
        <v>364800</v>
      </c>
      <c r="L16" s="63"/>
    </row>
    <row r="17" spans="1:12">
      <c r="A17">
        <v>34</v>
      </c>
      <c r="B17" s="63">
        <f t="shared" si="0"/>
        <v>410000</v>
      </c>
      <c r="C17" s="63">
        <v>31000</v>
      </c>
      <c r="D17" s="63">
        <v>379000</v>
      </c>
      <c r="E17" s="63">
        <v>369000</v>
      </c>
      <c r="F17" s="63">
        <f t="shared" si="1"/>
        <v>10000</v>
      </c>
      <c r="G17" s="63">
        <v>358700</v>
      </c>
      <c r="H17">
        <v>1600</v>
      </c>
      <c r="I17" s="63">
        <v>360300</v>
      </c>
      <c r="J17" s="63">
        <f t="shared" si="2"/>
        <v>8700</v>
      </c>
      <c r="K17" s="63">
        <v>369000</v>
      </c>
      <c r="L17" s="63"/>
    </row>
    <row r="18" spans="1:12">
      <c r="A18">
        <v>35</v>
      </c>
      <c r="B18" s="63">
        <f t="shared" si="0"/>
        <v>414200</v>
      </c>
      <c r="C18" s="63">
        <v>31000</v>
      </c>
      <c r="D18" s="63">
        <v>383200</v>
      </c>
      <c r="E18" s="63">
        <v>373200</v>
      </c>
      <c r="F18" s="63">
        <f t="shared" si="1"/>
        <v>10000</v>
      </c>
      <c r="G18" s="63">
        <v>362800</v>
      </c>
      <c r="H18">
        <v>1600</v>
      </c>
      <c r="I18" s="63">
        <v>364400</v>
      </c>
      <c r="J18" s="63">
        <f t="shared" si="2"/>
        <v>8800</v>
      </c>
      <c r="K18" s="63">
        <v>373200</v>
      </c>
      <c r="L18" s="63"/>
    </row>
    <row r="19" spans="1:12">
      <c r="A19">
        <v>36</v>
      </c>
      <c r="B19" s="63">
        <f t="shared" si="0"/>
        <v>418500</v>
      </c>
      <c r="C19" s="63">
        <v>31000</v>
      </c>
      <c r="D19" s="63">
        <v>387500</v>
      </c>
      <c r="E19" s="63">
        <v>377500</v>
      </c>
      <c r="F19" s="63">
        <f t="shared" si="1"/>
        <v>10000</v>
      </c>
      <c r="G19" s="63">
        <v>367100</v>
      </c>
      <c r="H19">
        <v>1600</v>
      </c>
      <c r="I19" s="63">
        <v>368700</v>
      </c>
      <c r="J19" s="63">
        <f t="shared" si="2"/>
        <v>8800</v>
      </c>
      <c r="K19" s="63">
        <v>377500</v>
      </c>
      <c r="L19" s="63"/>
    </row>
    <row r="20" spans="1:12">
      <c r="A20">
        <v>37</v>
      </c>
      <c r="B20" s="63">
        <f t="shared" si="0"/>
        <v>423300</v>
      </c>
      <c r="C20" s="63">
        <v>31000</v>
      </c>
      <c r="D20" s="63">
        <v>392300</v>
      </c>
      <c r="E20" s="63">
        <v>382300</v>
      </c>
      <c r="F20" s="63">
        <f t="shared" si="1"/>
        <v>10000</v>
      </c>
      <c r="G20" s="63">
        <v>371800</v>
      </c>
      <c r="H20">
        <v>1600</v>
      </c>
      <c r="I20" s="63">
        <v>373400</v>
      </c>
      <c r="J20" s="63">
        <f t="shared" si="2"/>
        <v>8900</v>
      </c>
      <c r="K20" s="63">
        <v>382300</v>
      </c>
      <c r="L20" s="63"/>
    </row>
    <row r="21" spans="1:12">
      <c r="A21">
        <v>38</v>
      </c>
      <c r="B21" s="63">
        <f t="shared" si="0"/>
        <v>428100</v>
      </c>
      <c r="C21" s="63">
        <v>31000</v>
      </c>
      <c r="D21" s="63">
        <v>397100</v>
      </c>
      <c r="E21" s="63">
        <v>387100</v>
      </c>
      <c r="F21" s="63">
        <f t="shared" si="1"/>
        <v>10000</v>
      </c>
      <c r="G21" s="63">
        <v>376500</v>
      </c>
      <c r="H21">
        <v>1700</v>
      </c>
      <c r="I21" s="63">
        <v>378200</v>
      </c>
      <c r="J21" s="63">
        <f t="shared" si="2"/>
        <v>8900</v>
      </c>
      <c r="K21" s="63">
        <v>387100</v>
      </c>
      <c r="L21" s="63"/>
    </row>
    <row r="22" spans="1:12">
      <c r="A22">
        <v>39</v>
      </c>
      <c r="B22" s="63">
        <f t="shared" si="0"/>
        <v>432800</v>
      </c>
      <c r="C22" s="63">
        <v>31000</v>
      </c>
      <c r="D22" s="63">
        <v>401800</v>
      </c>
      <c r="E22" s="63">
        <v>391800</v>
      </c>
      <c r="F22" s="63">
        <f t="shared" si="1"/>
        <v>10000</v>
      </c>
      <c r="G22" s="63">
        <v>381200</v>
      </c>
      <c r="H22">
        <v>1700</v>
      </c>
      <c r="I22" s="63">
        <v>382900</v>
      </c>
      <c r="J22" s="63">
        <f t="shared" si="2"/>
        <v>8900</v>
      </c>
      <c r="K22" s="63">
        <v>391800</v>
      </c>
      <c r="L22" s="63"/>
    </row>
    <row r="23" spans="1:12">
      <c r="A23">
        <v>40</v>
      </c>
      <c r="B23" s="63">
        <f t="shared" si="0"/>
        <v>437900</v>
      </c>
      <c r="C23" s="63">
        <v>31000</v>
      </c>
      <c r="D23" s="63">
        <v>406900</v>
      </c>
      <c r="E23" s="63">
        <v>396900</v>
      </c>
      <c r="F23" s="63">
        <f t="shared" si="1"/>
        <v>10000</v>
      </c>
      <c r="G23" s="63">
        <v>386200</v>
      </c>
      <c r="H23">
        <v>1700</v>
      </c>
      <c r="I23" s="63">
        <v>387900</v>
      </c>
      <c r="J23" s="63">
        <f t="shared" si="2"/>
        <v>9000</v>
      </c>
      <c r="K23" s="63">
        <v>396900</v>
      </c>
      <c r="L23" s="63"/>
    </row>
    <row r="24" spans="1:12">
      <c r="A24">
        <v>41</v>
      </c>
      <c r="B24" s="63">
        <f t="shared" si="0"/>
        <v>443000</v>
      </c>
      <c r="C24" s="63">
        <v>31000</v>
      </c>
      <c r="D24" s="63">
        <v>412000</v>
      </c>
      <c r="E24" s="63">
        <v>402000</v>
      </c>
      <c r="F24" s="63">
        <f t="shared" si="1"/>
        <v>10000</v>
      </c>
      <c r="G24" s="63">
        <v>391300</v>
      </c>
      <c r="H24">
        <v>1700</v>
      </c>
      <c r="I24" s="63">
        <v>393000</v>
      </c>
      <c r="J24" s="63">
        <f t="shared" si="2"/>
        <v>9000</v>
      </c>
      <c r="K24" s="63">
        <v>402000</v>
      </c>
      <c r="L24" s="63"/>
    </row>
    <row r="25" spans="1:12">
      <c r="A25">
        <v>42</v>
      </c>
      <c r="B25" s="63">
        <f t="shared" si="0"/>
        <v>448900</v>
      </c>
      <c r="C25" s="63">
        <v>31000</v>
      </c>
      <c r="D25" s="63">
        <v>417900</v>
      </c>
      <c r="E25" s="63">
        <v>407900</v>
      </c>
      <c r="F25" s="63">
        <f t="shared" si="1"/>
        <v>10000</v>
      </c>
      <c r="G25" s="63">
        <v>397100</v>
      </c>
      <c r="H25">
        <v>1700</v>
      </c>
      <c r="I25" s="63">
        <v>398800</v>
      </c>
      <c r="J25" s="63">
        <f t="shared" si="2"/>
        <v>9100</v>
      </c>
      <c r="K25" s="63">
        <v>407900</v>
      </c>
      <c r="L25" s="63"/>
    </row>
    <row r="26" spans="1:12">
      <c r="A26">
        <v>43</v>
      </c>
      <c r="B26" s="63">
        <f t="shared" si="0"/>
        <v>454500</v>
      </c>
      <c r="C26" s="63">
        <v>31000</v>
      </c>
      <c r="D26" s="63">
        <v>423500</v>
      </c>
      <c r="E26" s="63">
        <v>413500</v>
      </c>
      <c r="F26" s="63">
        <f t="shared" si="1"/>
        <v>10000</v>
      </c>
      <c r="G26" s="63">
        <v>402600</v>
      </c>
      <c r="H26">
        <v>1800</v>
      </c>
      <c r="I26" s="63">
        <v>404400</v>
      </c>
      <c r="J26" s="63">
        <f t="shared" si="2"/>
        <v>9100</v>
      </c>
      <c r="K26" s="63">
        <v>413500</v>
      </c>
      <c r="L26" s="63"/>
    </row>
    <row r="27" spans="1:12">
      <c r="A27">
        <v>44</v>
      </c>
      <c r="B27" s="63">
        <f t="shared" si="0"/>
        <v>460600</v>
      </c>
      <c r="C27" s="63">
        <v>31000</v>
      </c>
      <c r="D27" s="63">
        <v>429600</v>
      </c>
      <c r="E27" s="63">
        <v>419600</v>
      </c>
      <c r="F27" s="63">
        <f t="shared" si="1"/>
        <v>10000</v>
      </c>
      <c r="G27" s="63">
        <v>408600</v>
      </c>
      <c r="H27">
        <v>1800</v>
      </c>
      <c r="I27" s="63">
        <v>410400</v>
      </c>
      <c r="J27" s="63">
        <f t="shared" si="2"/>
        <v>9200</v>
      </c>
      <c r="K27" s="63">
        <v>419600</v>
      </c>
      <c r="L27" s="63"/>
    </row>
    <row r="28" spans="1:12">
      <c r="A28">
        <v>45</v>
      </c>
      <c r="B28" s="63">
        <f t="shared" si="0"/>
        <v>466600</v>
      </c>
      <c r="C28" s="63">
        <v>31000</v>
      </c>
      <c r="D28" s="63">
        <v>435600</v>
      </c>
      <c r="E28" s="63">
        <v>425600</v>
      </c>
      <c r="F28" s="63">
        <f t="shared" si="1"/>
        <v>10000</v>
      </c>
      <c r="G28" s="63">
        <v>414600</v>
      </c>
      <c r="H28">
        <v>1800</v>
      </c>
      <c r="I28" s="63">
        <v>416400</v>
      </c>
      <c r="J28" s="63">
        <f t="shared" si="2"/>
        <v>9200</v>
      </c>
      <c r="K28" s="63">
        <v>425600</v>
      </c>
      <c r="L28" s="63"/>
    </row>
    <row r="29" spans="1:12">
      <c r="A29">
        <v>46</v>
      </c>
      <c r="B29" s="63">
        <f t="shared" si="0"/>
        <v>472900</v>
      </c>
      <c r="C29" s="63">
        <v>31000</v>
      </c>
      <c r="D29" s="63">
        <v>441900</v>
      </c>
      <c r="E29" s="63">
        <v>431900</v>
      </c>
      <c r="F29" s="63">
        <f t="shared" si="1"/>
        <v>10000</v>
      </c>
      <c r="G29" s="63">
        <v>420700</v>
      </c>
      <c r="H29">
        <v>1900</v>
      </c>
      <c r="I29" s="63">
        <v>422600</v>
      </c>
      <c r="J29" s="63">
        <f t="shared" si="2"/>
        <v>9300</v>
      </c>
      <c r="K29" s="63">
        <v>431900</v>
      </c>
      <c r="L29" s="63"/>
    </row>
    <row r="30" spans="1:12">
      <c r="A30">
        <v>47</v>
      </c>
      <c r="B30" s="63">
        <f t="shared" si="0"/>
        <v>480900</v>
      </c>
      <c r="C30" s="63">
        <v>31000</v>
      </c>
      <c r="D30" s="63">
        <v>449900</v>
      </c>
      <c r="E30" s="63">
        <v>439900</v>
      </c>
      <c r="F30" s="63">
        <f t="shared" si="1"/>
        <v>10000</v>
      </c>
      <c r="G30" s="63">
        <v>428200</v>
      </c>
      <c r="H30">
        <v>2300</v>
      </c>
      <c r="I30" s="63">
        <v>430500</v>
      </c>
      <c r="J30" s="63">
        <f t="shared" si="2"/>
        <v>9400</v>
      </c>
      <c r="K30" s="63">
        <v>439900</v>
      </c>
      <c r="L30" s="63"/>
    </row>
    <row r="31" spans="1:12">
      <c r="A31">
        <v>48</v>
      </c>
      <c r="B31" s="63">
        <f t="shared" si="0"/>
        <v>487800</v>
      </c>
      <c r="C31" s="63">
        <v>31000</v>
      </c>
      <c r="D31" s="63">
        <v>456800</v>
      </c>
      <c r="E31" s="63">
        <v>446800</v>
      </c>
      <c r="F31" s="63">
        <f t="shared" si="1"/>
        <v>10000</v>
      </c>
      <c r="G31" s="63">
        <v>435100</v>
      </c>
      <c r="H31">
        <v>2300</v>
      </c>
      <c r="I31" s="63">
        <v>437400</v>
      </c>
      <c r="J31" s="63">
        <f t="shared" si="2"/>
        <v>9400</v>
      </c>
      <c r="K31" s="63">
        <v>446800</v>
      </c>
      <c r="L31" s="63"/>
    </row>
    <row r="32" spans="1:12">
      <c r="A32">
        <v>49</v>
      </c>
      <c r="B32" s="63">
        <f t="shared" si="0"/>
        <v>495200</v>
      </c>
      <c r="C32" s="63">
        <v>31000</v>
      </c>
      <c r="D32" s="63">
        <v>464200</v>
      </c>
      <c r="E32" s="63">
        <v>454200</v>
      </c>
      <c r="F32" s="63">
        <f t="shared" si="1"/>
        <v>10000</v>
      </c>
      <c r="G32" s="63">
        <v>442300</v>
      </c>
      <c r="H32">
        <v>2400</v>
      </c>
      <c r="I32" s="63">
        <v>444700</v>
      </c>
      <c r="J32" s="63">
        <f t="shared" si="2"/>
        <v>9500</v>
      </c>
      <c r="K32" s="63">
        <v>454200</v>
      </c>
      <c r="L32" s="63"/>
    </row>
    <row r="33" spans="1:12">
      <c r="A33">
        <v>50</v>
      </c>
      <c r="B33" s="63">
        <f t="shared" si="0"/>
        <v>502300</v>
      </c>
      <c r="C33" s="63">
        <v>31000</v>
      </c>
      <c r="D33" s="63">
        <v>471300</v>
      </c>
      <c r="E33" s="63">
        <v>461300</v>
      </c>
      <c r="F33" s="63">
        <f t="shared" si="1"/>
        <v>10000</v>
      </c>
      <c r="G33" s="63">
        <v>449300</v>
      </c>
      <c r="H33">
        <v>2400</v>
      </c>
      <c r="I33" s="63">
        <v>451700</v>
      </c>
      <c r="J33" s="63">
        <f t="shared" si="2"/>
        <v>9600</v>
      </c>
      <c r="K33" s="63">
        <v>461300</v>
      </c>
      <c r="L33" s="63"/>
    </row>
    <row r="34" spans="1:12">
      <c r="A34">
        <v>51</v>
      </c>
      <c r="B34" s="63">
        <f t="shared" si="0"/>
        <v>509300</v>
      </c>
      <c r="C34" s="63">
        <v>31000</v>
      </c>
      <c r="D34" s="63">
        <v>478300</v>
      </c>
      <c r="E34" s="63">
        <v>468300</v>
      </c>
      <c r="F34" s="63">
        <f t="shared" si="1"/>
        <v>10000</v>
      </c>
      <c r="G34" s="63">
        <v>456400</v>
      </c>
      <c r="H34">
        <v>2500</v>
      </c>
      <c r="I34" s="63">
        <v>458900</v>
      </c>
      <c r="J34" s="63">
        <f t="shared" si="2"/>
        <v>9400</v>
      </c>
      <c r="K34" s="63">
        <v>468300</v>
      </c>
      <c r="L34" s="63"/>
    </row>
    <row r="35" spans="1:12">
      <c r="A35">
        <v>52</v>
      </c>
      <c r="B35" s="63">
        <f t="shared" si="0"/>
        <v>516800</v>
      </c>
      <c r="C35" s="63">
        <v>31000</v>
      </c>
      <c r="D35" s="63">
        <v>485800</v>
      </c>
      <c r="E35" s="63">
        <v>475800</v>
      </c>
      <c r="F35" s="63">
        <f t="shared" si="1"/>
        <v>10000</v>
      </c>
      <c r="G35" s="63">
        <v>464000</v>
      </c>
      <c r="H35">
        <v>2500</v>
      </c>
      <c r="I35" s="63">
        <v>466500</v>
      </c>
      <c r="J35" s="63">
        <f t="shared" si="2"/>
        <v>9300</v>
      </c>
      <c r="K35" s="63">
        <v>475800</v>
      </c>
      <c r="L35" s="63"/>
    </row>
    <row r="36" spans="1:12">
      <c r="A36">
        <v>53</v>
      </c>
      <c r="B36" s="63">
        <f t="shared" si="0"/>
        <v>524700</v>
      </c>
      <c r="C36" s="63">
        <v>31000</v>
      </c>
      <c r="D36" s="63">
        <v>493700</v>
      </c>
      <c r="E36" s="63">
        <v>483700</v>
      </c>
      <c r="F36" s="63">
        <f t="shared" si="1"/>
        <v>10000</v>
      </c>
      <c r="G36" s="63">
        <v>472000</v>
      </c>
      <c r="H36">
        <v>2500</v>
      </c>
      <c r="I36" s="63">
        <v>474500</v>
      </c>
      <c r="J36" s="63">
        <f t="shared" si="2"/>
        <v>9200</v>
      </c>
      <c r="K36" s="63">
        <v>483700</v>
      </c>
      <c r="L36" s="63"/>
    </row>
    <row r="37" spans="1:12">
      <c r="A37">
        <v>54</v>
      </c>
      <c r="B37" s="63">
        <f t="shared" si="0"/>
        <v>532200</v>
      </c>
      <c r="C37" s="63">
        <v>31000</v>
      </c>
      <c r="D37" s="63">
        <v>501200</v>
      </c>
      <c r="E37" s="63">
        <v>491200</v>
      </c>
      <c r="F37" s="63">
        <f t="shared" si="1"/>
        <v>10000</v>
      </c>
      <c r="G37" s="63">
        <v>479600</v>
      </c>
      <c r="H37">
        <v>2600</v>
      </c>
      <c r="I37" s="63">
        <v>482200</v>
      </c>
      <c r="J37" s="63">
        <f t="shared" si="2"/>
        <v>9000</v>
      </c>
      <c r="K37" s="63">
        <v>491200</v>
      </c>
      <c r="L37" s="63"/>
    </row>
    <row r="38" spans="1:12">
      <c r="A38">
        <v>55</v>
      </c>
      <c r="B38" s="63">
        <f t="shared" si="0"/>
        <v>540500</v>
      </c>
      <c r="C38" s="63">
        <v>31000</v>
      </c>
      <c r="D38" s="63">
        <v>509500</v>
      </c>
      <c r="E38" s="63">
        <v>499500</v>
      </c>
      <c r="F38" s="63">
        <f t="shared" si="1"/>
        <v>10000</v>
      </c>
      <c r="G38" s="63">
        <v>488000</v>
      </c>
      <c r="H38">
        <v>2600</v>
      </c>
      <c r="I38" s="63">
        <v>490600</v>
      </c>
      <c r="J38" s="63">
        <f t="shared" si="2"/>
        <v>8900</v>
      </c>
      <c r="K38" s="63">
        <v>499500</v>
      </c>
      <c r="L38" s="63"/>
    </row>
    <row r="39" spans="1:12">
      <c r="A39">
        <v>56</v>
      </c>
      <c r="B39" s="63">
        <f t="shared" si="0"/>
        <v>548600</v>
      </c>
      <c r="C39" s="63">
        <v>31000</v>
      </c>
      <c r="D39" s="63">
        <v>517600</v>
      </c>
      <c r="E39" s="63">
        <v>507600</v>
      </c>
      <c r="F39" s="63">
        <f t="shared" si="1"/>
        <v>10000</v>
      </c>
      <c r="G39" s="63">
        <v>496100</v>
      </c>
      <c r="H39">
        <v>2700</v>
      </c>
      <c r="I39" s="63">
        <v>498800</v>
      </c>
      <c r="J39" s="63">
        <f t="shared" si="2"/>
        <v>8800</v>
      </c>
      <c r="K39" s="63">
        <v>507600</v>
      </c>
      <c r="L39" s="63"/>
    </row>
    <row r="40" spans="1:12">
      <c r="A40">
        <v>57</v>
      </c>
      <c r="B40" s="63">
        <f t="shared" si="0"/>
        <v>557100</v>
      </c>
      <c r="C40" s="63">
        <v>31000</v>
      </c>
      <c r="D40" s="63">
        <v>526100</v>
      </c>
      <c r="E40" s="63">
        <v>516100</v>
      </c>
      <c r="F40" s="63">
        <f t="shared" si="1"/>
        <v>10000</v>
      </c>
      <c r="G40" s="63">
        <v>504700</v>
      </c>
      <c r="H40">
        <v>2700</v>
      </c>
      <c r="I40" s="63">
        <v>507400</v>
      </c>
      <c r="J40" s="63">
        <f t="shared" si="2"/>
        <v>8700</v>
      </c>
      <c r="K40" s="63">
        <v>516100</v>
      </c>
      <c r="L40" s="63"/>
    </row>
    <row r="41" spans="1:12">
      <c r="A41">
        <v>58</v>
      </c>
      <c r="B41" s="63">
        <f t="shared" si="0"/>
        <v>565900</v>
      </c>
      <c r="C41" s="63">
        <v>31000</v>
      </c>
      <c r="D41" s="63">
        <v>534900</v>
      </c>
      <c r="E41" s="63">
        <v>524900</v>
      </c>
      <c r="F41" s="63">
        <f t="shared" si="1"/>
        <v>10000</v>
      </c>
      <c r="G41" s="63">
        <v>513600</v>
      </c>
      <c r="H41">
        <v>2800</v>
      </c>
      <c r="I41" s="63">
        <v>516400</v>
      </c>
      <c r="J41" s="63">
        <f t="shared" si="2"/>
        <v>8500</v>
      </c>
      <c r="K41" s="63">
        <v>524900</v>
      </c>
      <c r="L41" s="63"/>
    </row>
    <row r="42" spans="1:12">
      <c r="A42">
        <v>59</v>
      </c>
      <c r="B42" s="63">
        <f t="shared" si="0"/>
        <v>575400</v>
      </c>
      <c r="C42" s="63">
        <v>31000</v>
      </c>
      <c r="D42" s="63">
        <v>544400</v>
      </c>
      <c r="E42" s="63">
        <v>534400</v>
      </c>
      <c r="F42" s="63">
        <f t="shared" si="1"/>
        <v>10000</v>
      </c>
      <c r="G42" s="63">
        <v>523200</v>
      </c>
      <c r="H42">
        <v>2800</v>
      </c>
      <c r="I42" s="63">
        <v>526000</v>
      </c>
      <c r="J42" s="63">
        <f t="shared" si="2"/>
        <v>8400</v>
      </c>
      <c r="K42" s="63">
        <v>534400</v>
      </c>
      <c r="L42" s="63"/>
    </row>
    <row r="43" spans="1:12">
      <c r="A43">
        <v>60</v>
      </c>
      <c r="B43" s="63">
        <f t="shared" si="0"/>
        <v>584500</v>
      </c>
      <c r="C43" s="63">
        <v>31000</v>
      </c>
      <c r="D43" s="63">
        <v>553500</v>
      </c>
      <c r="E43" s="63">
        <v>543500</v>
      </c>
      <c r="F43" s="63">
        <f t="shared" si="1"/>
        <v>10000</v>
      </c>
      <c r="G43" s="63">
        <v>532300</v>
      </c>
      <c r="H43">
        <v>2900</v>
      </c>
      <c r="I43" s="63">
        <v>535200</v>
      </c>
      <c r="J43" s="63">
        <f t="shared" si="2"/>
        <v>8300</v>
      </c>
      <c r="K43" s="63">
        <v>543500</v>
      </c>
      <c r="L43" s="63"/>
    </row>
    <row r="44" spans="1:12">
      <c r="A44">
        <v>61</v>
      </c>
      <c r="B44" s="63">
        <f t="shared" si="0"/>
        <v>594500</v>
      </c>
      <c r="C44" s="63">
        <v>31000</v>
      </c>
      <c r="D44" s="63">
        <v>563500</v>
      </c>
      <c r="E44" s="63">
        <v>553500</v>
      </c>
      <c r="F44" s="63">
        <f t="shared" si="1"/>
        <v>10000</v>
      </c>
      <c r="G44" s="63">
        <v>542400</v>
      </c>
      <c r="H44">
        <v>2900</v>
      </c>
      <c r="I44" s="63">
        <v>545300</v>
      </c>
      <c r="J44" s="63">
        <f t="shared" si="2"/>
        <v>8200</v>
      </c>
      <c r="K44" s="63">
        <v>553500</v>
      </c>
      <c r="L44" s="63"/>
    </row>
    <row r="45" spans="1:12">
      <c r="A45">
        <v>62</v>
      </c>
      <c r="B45" s="63">
        <f t="shared" si="0"/>
        <v>604900</v>
      </c>
      <c r="C45" s="63">
        <v>31000</v>
      </c>
      <c r="D45" s="63">
        <v>573900</v>
      </c>
      <c r="E45" s="63">
        <v>563900</v>
      </c>
      <c r="F45" s="63">
        <f t="shared" si="1"/>
        <v>10000</v>
      </c>
      <c r="G45" s="63">
        <v>552800</v>
      </c>
      <c r="H45">
        <v>3000</v>
      </c>
      <c r="I45" s="63">
        <v>555800</v>
      </c>
      <c r="J45" s="63">
        <f t="shared" si="2"/>
        <v>8100</v>
      </c>
      <c r="K45" s="63">
        <v>563900</v>
      </c>
      <c r="L45" s="63"/>
    </row>
    <row r="46" spans="1:12">
      <c r="A46">
        <v>63</v>
      </c>
      <c r="B46" s="63">
        <f t="shared" si="0"/>
        <v>615700</v>
      </c>
      <c r="C46" s="63">
        <v>31000</v>
      </c>
      <c r="D46" s="63">
        <v>584700</v>
      </c>
      <c r="E46" s="63">
        <v>574700</v>
      </c>
      <c r="F46" s="63">
        <f t="shared" si="1"/>
        <v>10000</v>
      </c>
      <c r="G46" s="63">
        <v>563700</v>
      </c>
      <c r="H46">
        <v>3000</v>
      </c>
      <c r="I46" s="63">
        <v>566700</v>
      </c>
      <c r="J46" s="63">
        <f t="shared" si="2"/>
        <v>8000</v>
      </c>
      <c r="K46" s="63">
        <v>574700</v>
      </c>
      <c r="L46" s="63"/>
    </row>
    <row r="47" spans="1:12">
      <c r="A47">
        <v>64</v>
      </c>
      <c r="B47" s="63">
        <f t="shared" si="0"/>
        <v>624500</v>
      </c>
      <c r="C47" s="63">
        <v>31000</v>
      </c>
      <c r="D47" s="63">
        <v>593500</v>
      </c>
      <c r="E47" s="63">
        <v>583500</v>
      </c>
      <c r="F47" s="63">
        <f t="shared" si="1"/>
        <v>10000</v>
      </c>
      <c r="G47" s="63">
        <v>573100</v>
      </c>
      <c r="H47">
        <v>2500</v>
      </c>
      <c r="I47" s="63">
        <v>575600</v>
      </c>
      <c r="J47" s="63">
        <f t="shared" si="2"/>
        <v>7900</v>
      </c>
      <c r="K47" s="63">
        <v>583500</v>
      </c>
      <c r="L47" s="63"/>
    </row>
    <row r="48" spans="1:12">
      <c r="A48">
        <v>65</v>
      </c>
      <c r="B48" s="63">
        <f t="shared" si="0"/>
        <v>635400</v>
      </c>
      <c r="C48" s="63">
        <v>31000</v>
      </c>
      <c r="D48" s="63">
        <v>604400</v>
      </c>
      <c r="E48" s="63">
        <v>594300</v>
      </c>
      <c r="F48" s="63">
        <f t="shared" si="1"/>
        <v>10100</v>
      </c>
      <c r="G48" s="63">
        <v>583900</v>
      </c>
      <c r="H48">
        <v>2600</v>
      </c>
      <c r="I48" s="63">
        <v>586500</v>
      </c>
      <c r="J48" s="63">
        <f t="shared" si="2"/>
        <v>7800</v>
      </c>
      <c r="K48" s="63">
        <v>594300</v>
      </c>
      <c r="L48" s="63"/>
    </row>
    <row r="49" spans="1:12">
      <c r="A49">
        <v>66</v>
      </c>
      <c r="B49" s="63">
        <f t="shared" si="0"/>
        <v>646000</v>
      </c>
      <c r="C49" s="63">
        <v>31000</v>
      </c>
      <c r="D49" s="63">
        <v>615000</v>
      </c>
      <c r="E49" s="63">
        <v>604700</v>
      </c>
      <c r="F49" s="63">
        <f t="shared" si="1"/>
        <v>10300</v>
      </c>
      <c r="G49" s="63">
        <v>594400</v>
      </c>
      <c r="H49">
        <v>2600</v>
      </c>
      <c r="I49" s="63">
        <v>597000</v>
      </c>
      <c r="J49" s="63">
        <f t="shared" si="2"/>
        <v>7700</v>
      </c>
      <c r="K49" s="63">
        <v>604700</v>
      </c>
      <c r="L49" s="63"/>
    </row>
    <row r="50" spans="1:12">
      <c r="A50">
        <v>67</v>
      </c>
      <c r="B50" s="63">
        <f t="shared" si="0"/>
        <v>657300</v>
      </c>
      <c r="C50" s="63">
        <v>31000</v>
      </c>
      <c r="D50" s="63">
        <v>626300</v>
      </c>
      <c r="E50" s="63">
        <v>615800</v>
      </c>
      <c r="F50" s="63">
        <f t="shared" si="1"/>
        <v>10500</v>
      </c>
      <c r="G50" s="63">
        <v>605500</v>
      </c>
      <c r="H50">
        <v>2700</v>
      </c>
      <c r="I50" s="63">
        <v>608200</v>
      </c>
      <c r="J50" s="63">
        <f t="shared" si="2"/>
        <v>7600</v>
      </c>
      <c r="K50" s="63">
        <v>615800</v>
      </c>
      <c r="L50" s="63"/>
    </row>
    <row r="51" spans="1:12">
      <c r="A51">
        <v>68</v>
      </c>
      <c r="B51" s="63">
        <f t="shared" si="0"/>
        <v>667700</v>
      </c>
      <c r="C51" s="63">
        <v>31000</v>
      </c>
      <c r="D51" s="63">
        <v>636700</v>
      </c>
      <c r="E51" s="63">
        <v>626100</v>
      </c>
      <c r="F51" s="63">
        <f t="shared" si="1"/>
        <v>10600</v>
      </c>
      <c r="G51" s="63">
        <v>615900</v>
      </c>
      <c r="H51">
        <v>2700</v>
      </c>
      <c r="I51" s="63">
        <v>618600</v>
      </c>
      <c r="J51" s="63">
        <f t="shared" si="2"/>
        <v>7500</v>
      </c>
      <c r="K51" s="63">
        <v>626100</v>
      </c>
      <c r="L51" s="63"/>
    </row>
    <row r="52" spans="1:12">
      <c r="A52">
        <v>69</v>
      </c>
      <c r="B52" s="63">
        <f t="shared" si="0"/>
        <v>679700</v>
      </c>
      <c r="C52" s="63">
        <v>31000</v>
      </c>
      <c r="D52" s="63">
        <v>648700</v>
      </c>
      <c r="E52" s="63">
        <v>637900</v>
      </c>
      <c r="F52" s="63">
        <f t="shared" si="1"/>
        <v>10800</v>
      </c>
      <c r="G52" s="63">
        <v>627700</v>
      </c>
      <c r="H52">
        <v>2800</v>
      </c>
      <c r="I52" s="63">
        <v>630500</v>
      </c>
      <c r="J52" s="63">
        <f t="shared" si="2"/>
        <v>7400</v>
      </c>
      <c r="K52" s="63">
        <v>637900</v>
      </c>
      <c r="L52" s="63"/>
    </row>
    <row r="53" spans="1:12">
      <c r="A53">
        <v>70</v>
      </c>
      <c r="B53" s="63">
        <f t="shared" si="0"/>
        <v>692400</v>
      </c>
      <c r="C53" s="63">
        <v>31000</v>
      </c>
      <c r="D53" s="63">
        <v>661400</v>
      </c>
      <c r="E53" s="63">
        <v>650300</v>
      </c>
      <c r="F53" s="63">
        <f t="shared" si="1"/>
        <v>11100</v>
      </c>
      <c r="G53" s="63">
        <v>640200</v>
      </c>
      <c r="H53">
        <v>2800</v>
      </c>
      <c r="I53" s="63">
        <v>643000</v>
      </c>
      <c r="J53" s="63">
        <f t="shared" si="2"/>
        <v>7300</v>
      </c>
      <c r="K53" s="63">
        <v>650300</v>
      </c>
      <c r="L53" s="63"/>
    </row>
    <row r="54" spans="1:12">
      <c r="A54">
        <v>71</v>
      </c>
      <c r="B54" s="63">
        <f t="shared" si="0"/>
        <v>708000</v>
      </c>
      <c r="C54" s="63">
        <v>31000</v>
      </c>
      <c r="D54" s="63">
        <v>677000</v>
      </c>
      <c r="E54" s="63">
        <v>665700</v>
      </c>
      <c r="F54" s="63">
        <f t="shared" si="1"/>
        <v>11300</v>
      </c>
      <c r="G54" s="63">
        <v>655400</v>
      </c>
      <c r="H54">
        <v>2900</v>
      </c>
      <c r="I54" s="63">
        <v>658300</v>
      </c>
      <c r="J54" s="63">
        <f t="shared" si="2"/>
        <v>7400</v>
      </c>
      <c r="K54" s="63">
        <v>665700</v>
      </c>
      <c r="L54" s="63"/>
    </row>
    <row r="55" spans="1:12">
      <c r="A55">
        <v>72</v>
      </c>
      <c r="B55" s="63">
        <f t="shared" si="0"/>
        <v>720100</v>
      </c>
      <c r="C55" s="63">
        <v>31000</v>
      </c>
      <c r="D55" s="63">
        <v>689100</v>
      </c>
      <c r="E55" s="63">
        <v>677600</v>
      </c>
      <c r="F55" s="63">
        <f t="shared" si="1"/>
        <v>11500</v>
      </c>
      <c r="G55" s="63">
        <v>667200</v>
      </c>
      <c r="H55">
        <v>2900</v>
      </c>
      <c r="I55" s="63">
        <v>670100</v>
      </c>
      <c r="J55" s="63">
        <f t="shared" si="2"/>
        <v>7500</v>
      </c>
      <c r="K55" s="63">
        <v>677600</v>
      </c>
      <c r="L55" s="63"/>
    </row>
    <row r="56" spans="1:12">
      <c r="A56">
        <v>73</v>
      </c>
      <c r="B56" s="63">
        <f t="shared" si="0"/>
        <v>732300</v>
      </c>
      <c r="C56" s="63">
        <v>31000</v>
      </c>
      <c r="D56" s="63">
        <v>701300</v>
      </c>
      <c r="E56" s="63">
        <v>689600</v>
      </c>
      <c r="F56" s="63">
        <f t="shared" si="1"/>
        <v>11700</v>
      </c>
      <c r="G56" s="63">
        <v>679000</v>
      </c>
      <c r="H56">
        <v>3000</v>
      </c>
      <c r="I56" s="63">
        <v>682000</v>
      </c>
      <c r="J56" s="63">
        <f t="shared" si="2"/>
        <v>7600</v>
      </c>
      <c r="K56" s="63">
        <v>689600</v>
      </c>
      <c r="L56" s="63"/>
    </row>
    <row r="57" spans="1:12">
      <c r="A57">
        <v>74</v>
      </c>
      <c r="B57" s="63">
        <f t="shared" si="0"/>
        <v>745000</v>
      </c>
      <c r="C57" s="63">
        <v>31000</v>
      </c>
      <c r="D57" s="63">
        <v>714000</v>
      </c>
      <c r="E57" s="63">
        <v>702100</v>
      </c>
      <c r="F57" s="63">
        <f t="shared" si="1"/>
        <v>11900</v>
      </c>
      <c r="G57" s="63">
        <v>691400</v>
      </c>
      <c r="H57">
        <v>3000</v>
      </c>
      <c r="I57" s="63">
        <v>694400</v>
      </c>
      <c r="J57" s="63">
        <f t="shared" si="2"/>
        <v>7700</v>
      </c>
      <c r="K57" s="63">
        <v>702100</v>
      </c>
      <c r="L57" s="63"/>
    </row>
    <row r="58" spans="1:12">
      <c r="A58">
        <v>75</v>
      </c>
      <c r="B58" s="63">
        <f t="shared" si="0"/>
        <v>759100</v>
      </c>
      <c r="C58" s="63">
        <v>31000</v>
      </c>
      <c r="D58" s="63">
        <v>728100</v>
      </c>
      <c r="E58" s="63">
        <v>715900</v>
      </c>
      <c r="F58" s="63">
        <f t="shared" si="1"/>
        <v>12200</v>
      </c>
      <c r="G58" s="63">
        <v>704900</v>
      </c>
      <c r="H58">
        <v>3100</v>
      </c>
      <c r="I58" s="63">
        <v>708000</v>
      </c>
      <c r="J58" s="63">
        <f t="shared" si="2"/>
        <v>7900</v>
      </c>
      <c r="K58" s="63">
        <v>715900</v>
      </c>
      <c r="L58" s="63"/>
    </row>
    <row r="59" spans="1:12">
      <c r="A59">
        <v>76</v>
      </c>
      <c r="B59" s="63">
        <f t="shared" si="0"/>
        <v>777900</v>
      </c>
      <c r="C59" s="63">
        <v>31000</v>
      </c>
      <c r="D59" s="63">
        <v>746900</v>
      </c>
      <c r="E59" s="63">
        <v>734400</v>
      </c>
      <c r="F59" s="63">
        <f t="shared" si="1"/>
        <v>12500</v>
      </c>
      <c r="G59" s="63">
        <v>723200</v>
      </c>
      <c r="H59">
        <v>3200</v>
      </c>
      <c r="I59" s="63">
        <v>726400</v>
      </c>
      <c r="J59" s="63">
        <f t="shared" si="2"/>
        <v>8000</v>
      </c>
      <c r="K59" s="63">
        <v>734400</v>
      </c>
      <c r="L59" s="63"/>
    </row>
    <row r="60" spans="1:12">
      <c r="A60">
        <v>77</v>
      </c>
      <c r="B60" s="63">
        <f t="shared" si="0"/>
        <v>796600</v>
      </c>
      <c r="C60" s="63">
        <v>31000</v>
      </c>
      <c r="D60" s="63">
        <v>765600</v>
      </c>
      <c r="E60" s="63">
        <v>752800</v>
      </c>
      <c r="F60" s="63">
        <f t="shared" si="1"/>
        <v>12800</v>
      </c>
      <c r="G60" s="63">
        <v>741300</v>
      </c>
      <c r="H60">
        <v>3300</v>
      </c>
      <c r="I60" s="63">
        <v>744600</v>
      </c>
      <c r="J60" s="63">
        <f t="shared" si="2"/>
        <v>8200</v>
      </c>
      <c r="K60" s="63">
        <v>752800</v>
      </c>
      <c r="L60" s="63"/>
    </row>
    <row r="61" spans="1:12">
      <c r="A61">
        <v>78</v>
      </c>
      <c r="B61" s="63">
        <f t="shared" si="0"/>
        <v>821100</v>
      </c>
      <c r="C61" s="63">
        <v>31000</v>
      </c>
      <c r="D61" s="63">
        <v>790100</v>
      </c>
      <c r="E61" s="63">
        <v>776900</v>
      </c>
      <c r="F61" s="63">
        <f t="shared" si="1"/>
        <v>13200</v>
      </c>
      <c r="G61" s="63">
        <v>765100</v>
      </c>
      <c r="H61">
        <v>3400</v>
      </c>
      <c r="I61" s="63">
        <v>768500</v>
      </c>
      <c r="J61" s="63">
        <f t="shared" si="2"/>
        <v>8400</v>
      </c>
      <c r="K61" s="63">
        <v>776900</v>
      </c>
      <c r="L61" s="63"/>
    </row>
    <row r="62" spans="1:12">
      <c r="A62">
        <v>79</v>
      </c>
      <c r="B62" s="63">
        <f t="shared" si="0"/>
        <v>845900</v>
      </c>
      <c r="C62" s="63">
        <v>31000</v>
      </c>
      <c r="D62" s="63">
        <v>814900</v>
      </c>
      <c r="E62" s="63">
        <v>801300</v>
      </c>
      <c r="F62" s="63">
        <f t="shared" si="1"/>
        <v>13600</v>
      </c>
      <c r="G62" s="63">
        <v>789200</v>
      </c>
      <c r="H62">
        <v>3500</v>
      </c>
      <c r="I62" s="63">
        <v>792700</v>
      </c>
      <c r="J62" s="63">
        <f t="shared" si="2"/>
        <v>8600</v>
      </c>
      <c r="K62" s="63">
        <v>801300</v>
      </c>
      <c r="L62" s="63"/>
    </row>
    <row r="63" spans="1:12">
      <c r="A63">
        <v>80</v>
      </c>
      <c r="B63" s="63">
        <f t="shared" si="0"/>
        <v>870900</v>
      </c>
      <c r="C63" s="63">
        <v>31000</v>
      </c>
      <c r="D63" s="63">
        <v>839900</v>
      </c>
      <c r="E63" s="63">
        <v>825900</v>
      </c>
      <c r="F63" s="63">
        <f t="shared" si="1"/>
        <v>14000</v>
      </c>
      <c r="G63" s="63">
        <v>813400</v>
      </c>
      <c r="H63">
        <v>3600</v>
      </c>
      <c r="I63" s="63">
        <v>817000</v>
      </c>
      <c r="J63" s="63">
        <f t="shared" si="2"/>
        <v>8900</v>
      </c>
      <c r="K63" s="63">
        <v>825900</v>
      </c>
      <c r="L63" s="63"/>
    </row>
    <row r="64" spans="1:12">
      <c r="A64">
        <v>81</v>
      </c>
      <c r="B64" s="63">
        <f t="shared" si="0"/>
        <v>895500</v>
      </c>
      <c r="C64" s="63">
        <v>31000</v>
      </c>
      <c r="D64" s="63">
        <v>864500</v>
      </c>
      <c r="E64" s="63">
        <v>850000</v>
      </c>
      <c r="F64" s="63">
        <f t="shared" si="1"/>
        <v>14500</v>
      </c>
      <c r="G64" s="63">
        <v>837200</v>
      </c>
      <c r="H64">
        <v>3700</v>
      </c>
      <c r="I64" s="63">
        <v>840900</v>
      </c>
      <c r="J64" s="63">
        <f t="shared" si="2"/>
        <v>9100</v>
      </c>
      <c r="K64" s="63">
        <v>850000</v>
      </c>
      <c r="L64" s="63"/>
    </row>
    <row r="65" spans="1:12">
      <c r="A65">
        <v>82</v>
      </c>
      <c r="B65" s="63">
        <f t="shared" si="0"/>
        <v>919200</v>
      </c>
      <c r="C65" s="63">
        <v>31000</v>
      </c>
      <c r="D65" s="63">
        <v>888200</v>
      </c>
      <c r="E65" s="63">
        <v>873400</v>
      </c>
      <c r="F65" s="63">
        <f t="shared" si="1"/>
        <v>14800</v>
      </c>
      <c r="G65" s="63">
        <v>860300</v>
      </c>
      <c r="H65">
        <v>3800</v>
      </c>
      <c r="I65" s="63">
        <v>864100</v>
      </c>
      <c r="J65" s="63">
        <f t="shared" si="2"/>
        <v>9300</v>
      </c>
      <c r="K65" s="63">
        <v>873400</v>
      </c>
      <c r="L65" s="63"/>
    </row>
    <row r="66" spans="1:12">
      <c r="A66">
        <v>83</v>
      </c>
      <c r="B66" s="63">
        <f t="shared" si="0"/>
        <v>942700</v>
      </c>
      <c r="C66" s="63">
        <v>31000</v>
      </c>
      <c r="D66" s="63">
        <v>911700</v>
      </c>
      <c r="E66" s="63">
        <v>896500</v>
      </c>
      <c r="F66" s="63">
        <f t="shared" si="1"/>
        <v>15200</v>
      </c>
      <c r="G66" s="63">
        <v>883100</v>
      </c>
      <c r="H66">
        <v>3900</v>
      </c>
      <c r="I66" s="63">
        <v>887000</v>
      </c>
      <c r="J66" s="63">
        <f t="shared" si="2"/>
        <v>9500</v>
      </c>
      <c r="K66" s="63">
        <v>896500</v>
      </c>
      <c r="L66" s="63"/>
    </row>
    <row r="67" spans="1:12">
      <c r="A67">
        <v>84</v>
      </c>
      <c r="B67" s="63">
        <f t="shared" ref="B67:B84" si="3">D67+31000</f>
        <v>966300</v>
      </c>
      <c r="C67" s="63">
        <v>31000</v>
      </c>
      <c r="D67" s="63">
        <v>935300</v>
      </c>
      <c r="E67" s="63">
        <v>919700</v>
      </c>
      <c r="F67" s="63">
        <f t="shared" ref="F67:F84" si="4">D67-E67</f>
        <v>15600</v>
      </c>
      <c r="G67" s="63">
        <v>906000</v>
      </c>
      <c r="H67">
        <v>4000</v>
      </c>
      <c r="I67" s="63">
        <v>910000</v>
      </c>
      <c r="J67" s="63">
        <f t="shared" ref="J67:J84" si="5">K67-I67</f>
        <v>9700</v>
      </c>
      <c r="K67" s="63">
        <v>919700</v>
      </c>
      <c r="L67" s="63"/>
    </row>
    <row r="68" spans="1:12">
      <c r="A68">
        <v>85</v>
      </c>
      <c r="B68" s="63">
        <f t="shared" si="3"/>
        <v>996000</v>
      </c>
      <c r="C68" s="63">
        <v>31000</v>
      </c>
      <c r="D68" s="63">
        <v>965000</v>
      </c>
      <c r="E68" s="63">
        <v>948900</v>
      </c>
      <c r="F68" s="63">
        <f t="shared" si="4"/>
        <v>16100</v>
      </c>
      <c r="G68" s="63">
        <v>934800</v>
      </c>
      <c r="H68">
        <v>4100</v>
      </c>
      <c r="I68" s="63">
        <v>938900</v>
      </c>
      <c r="J68" s="63">
        <f t="shared" si="5"/>
        <v>10000</v>
      </c>
      <c r="K68" s="63">
        <v>948900</v>
      </c>
      <c r="L68" s="63"/>
    </row>
    <row r="69" spans="1:12">
      <c r="A69">
        <v>86</v>
      </c>
      <c r="B69" s="63">
        <f t="shared" si="3"/>
        <v>1025200</v>
      </c>
      <c r="C69" s="63">
        <v>31000</v>
      </c>
      <c r="D69" s="63">
        <v>994200</v>
      </c>
      <c r="E69" s="63">
        <v>977600</v>
      </c>
      <c r="F69" s="63">
        <f t="shared" si="4"/>
        <v>16600</v>
      </c>
      <c r="G69" s="63">
        <v>963200</v>
      </c>
      <c r="H69">
        <v>4200</v>
      </c>
      <c r="I69" s="63">
        <v>967400</v>
      </c>
      <c r="J69" s="63">
        <f t="shared" si="5"/>
        <v>10200</v>
      </c>
      <c r="K69" s="63">
        <v>977600</v>
      </c>
      <c r="L69" s="63"/>
    </row>
    <row r="70" spans="1:12">
      <c r="A70">
        <v>87</v>
      </c>
      <c r="B70" s="63">
        <f t="shared" si="3"/>
        <v>1055200</v>
      </c>
      <c r="C70" s="63">
        <v>31000</v>
      </c>
      <c r="D70" s="63">
        <v>1024200</v>
      </c>
      <c r="E70" s="63">
        <v>1007100</v>
      </c>
      <c r="F70" s="63">
        <f t="shared" si="4"/>
        <v>17100</v>
      </c>
      <c r="G70" s="63">
        <v>992200</v>
      </c>
      <c r="H70">
        <v>4400</v>
      </c>
      <c r="I70" s="63">
        <v>996600</v>
      </c>
      <c r="J70" s="63">
        <f t="shared" si="5"/>
        <v>10500</v>
      </c>
      <c r="K70" s="63">
        <v>1007100</v>
      </c>
      <c r="L70" s="63"/>
    </row>
    <row r="71" spans="1:12">
      <c r="A71">
        <v>88</v>
      </c>
      <c r="B71" s="63">
        <f t="shared" si="3"/>
        <v>1078600</v>
      </c>
      <c r="C71" s="63">
        <v>31000</v>
      </c>
      <c r="D71" s="63">
        <v>1047600</v>
      </c>
      <c r="E71" s="63">
        <v>1030100</v>
      </c>
      <c r="F71" s="63">
        <f t="shared" si="4"/>
        <v>17500</v>
      </c>
      <c r="G71" s="63">
        <v>1014900</v>
      </c>
      <c r="H71">
        <v>4500</v>
      </c>
      <c r="I71" s="63">
        <v>1019400</v>
      </c>
      <c r="J71" s="63">
        <f t="shared" si="5"/>
        <v>10700</v>
      </c>
      <c r="K71" s="63">
        <v>1030100</v>
      </c>
      <c r="L71" s="63"/>
    </row>
    <row r="72" spans="1:12">
      <c r="A72">
        <v>89</v>
      </c>
      <c r="B72" s="63">
        <f t="shared" si="3"/>
        <v>1102200</v>
      </c>
      <c r="C72" s="63">
        <v>31000</v>
      </c>
      <c r="D72" s="63">
        <v>1071200</v>
      </c>
      <c r="E72" s="63">
        <v>1053300</v>
      </c>
      <c r="F72" s="63">
        <f t="shared" si="4"/>
        <v>17900</v>
      </c>
      <c r="G72" s="63">
        <v>1037800</v>
      </c>
      <c r="H72">
        <v>4600</v>
      </c>
      <c r="I72" s="63">
        <v>1042400</v>
      </c>
      <c r="J72" s="63">
        <f t="shared" si="5"/>
        <v>10900</v>
      </c>
      <c r="K72" s="63">
        <v>1053300</v>
      </c>
      <c r="L72" s="63"/>
    </row>
    <row r="73" spans="1:12">
      <c r="A73">
        <v>90</v>
      </c>
      <c r="B73" s="63">
        <f t="shared" si="3"/>
        <v>1125800</v>
      </c>
      <c r="C73" s="63">
        <v>31000</v>
      </c>
      <c r="D73" s="63">
        <v>1094800</v>
      </c>
      <c r="E73" s="63">
        <v>1076500</v>
      </c>
      <c r="F73" s="63">
        <f t="shared" si="4"/>
        <v>18300</v>
      </c>
      <c r="G73" s="63">
        <v>1060700</v>
      </c>
      <c r="H73">
        <v>4700</v>
      </c>
      <c r="I73" s="63">
        <v>1065400</v>
      </c>
      <c r="J73" s="63">
        <f t="shared" si="5"/>
        <v>11100</v>
      </c>
      <c r="K73" s="63">
        <v>1076500</v>
      </c>
      <c r="L73" s="63"/>
    </row>
    <row r="74" spans="1:12">
      <c r="A74">
        <v>91</v>
      </c>
      <c r="B74" s="63">
        <f t="shared" si="3"/>
        <v>1149700</v>
      </c>
      <c r="C74" s="63">
        <v>31000</v>
      </c>
      <c r="D74" s="63">
        <v>1118700</v>
      </c>
      <c r="E74" s="63">
        <v>1100000</v>
      </c>
      <c r="F74" s="63">
        <f t="shared" si="4"/>
        <v>18700</v>
      </c>
      <c r="G74" s="63">
        <v>1083900</v>
      </c>
      <c r="H74">
        <v>4800</v>
      </c>
      <c r="I74" s="63">
        <v>1088700</v>
      </c>
      <c r="J74" s="63">
        <f t="shared" si="5"/>
        <v>11300</v>
      </c>
      <c r="K74" s="63">
        <v>1100000</v>
      </c>
      <c r="L74" s="63"/>
    </row>
    <row r="75" spans="1:12">
      <c r="A75">
        <v>92</v>
      </c>
      <c r="B75" s="63">
        <f t="shared" si="3"/>
        <v>1173100</v>
      </c>
      <c r="C75" s="63">
        <v>31000</v>
      </c>
      <c r="D75" s="63">
        <v>1142100</v>
      </c>
      <c r="E75" s="63">
        <v>1123000</v>
      </c>
      <c r="F75" s="63">
        <f t="shared" si="4"/>
        <v>19100</v>
      </c>
      <c r="G75" s="63">
        <v>1106600</v>
      </c>
      <c r="H75">
        <v>4900</v>
      </c>
      <c r="I75" s="63">
        <v>1111500</v>
      </c>
      <c r="J75" s="63">
        <f t="shared" si="5"/>
        <v>11500</v>
      </c>
      <c r="K75" s="63">
        <v>1123000</v>
      </c>
      <c r="L75" s="63"/>
    </row>
    <row r="76" spans="1:12">
      <c r="A76">
        <v>93</v>
      </c>
      <c r="B76" s="63">
        <f t="shared" si="3"/>
        <v>1196800</v>
      </c>
      <c r="C76" s="63">
        <v>31000</v>
      </c>
      <c r="D76" s="63">
        <v>1165800</v>
      </c>
      <c r="E76" s="63">
        <v>1146300</v>
      </c>
      <c r="F76" s="63">
        <f t="shared" si="4"/>
        <v>19500</v>
      </c>
      <c r="G76" s="63">
        <v>1129600</v>
      </c>
      <c r="H76">
        <v>5000</v>
      </c>
      <c r="I76" s="63">
        <v>1134600</v>
      </c>
      <c r="J76" s="63">
        <f t="shared" si="5"/>
        <v>11700</v>
      </c>
      <c r="K76" s="63">
        <v>1146300</v>
      </c>
      <c r="L76" s="63"/>
    </row>
    <row r="77" spans="1:12">
      <c r="A77">
        <v>94</v>
      </c>
      <c r="B77" s="63">
        <f t="shared" si="3"/>
        <v>1220400</v>
      </c>
      <c r="C77" s="63">
        <v>31000</v>
      </c>
      <c r="D77" s="63">
        <v>1189400</v>
      </c>
      <c r="E77" s="63">
        <v>1169500</v>
      </c>
      <c r="F77" s="63">
        <f t="shared" si="4"/>
        <v>19900</v>
      </c>
      <c r="G77" s="63">
        <v>1152500</v>
      </c>
      <c r="H77">
        <v>5100</v>
      </c>
      <c r="I77" s="63">
        <v>1157600</v>
      </c>
      <c r="J77" s="63">
        <f t="shared" si="5"/>
        <v>11900</v>
      </c>
      <c r="K77" s="63">
        <v>1169500</v>
      </c>
      <c r="L77" s="63"/>
    </row>
    <row r="78" spans="1:12">
      <c r="A78">
        <v>95</v>
      </c>
      <c r="B78" s="63">
        <f t="shared" si="3"/>
        <v>1244200</v>
      </c>
      <c r="C78" s="63">
        <v>31000</v>
      </c>
      <c r="D78" s="63">
        <v>1213200</v>
      </c>
      <c r="E78" s="63">
        <v>1192900</v>
      </c>
      <c r="F78" s="63">
        <f t="shared" si="4"/>
        <v>20300</v>
      </c>
      <c r="G78" s="63">
        <v>1175600</v>
      </c>
      <c r="H78">
        <v>5200</v>
      </c>
      <c r="I78" s="63">
        <v>1180800</v>
      </c>
      <c r="J78" s="63">
        <f t="shared" si="5"/>
        <v>12100</v>
      </c>
      <c r="K78" s="63">
        <v>1192900</v>
      </c>
      <c r="L78" s="63"/>
    </row>
    <row r="79" spans="1:12">
      <c r="A79">
        <v>96</v>
      </c>
      <c r="B79" s="63">
        <f t="shared" si="3"/>
        <v>1267300</v>
      </c>
      <c r="C79" s="63">
        <v>31000</v>
      </c>
      <c r="D79" s="63">
        <v>1236300</v>
      </c>
      <c r="E79" s="63">
        <v>1215600</v>
      </c>
      <c r="F79" s="63">
        <f t="shared" si="4"/>
        <v>20700</v>
      </c>
      <c r="G79" s="63">
        <v>1198000</v>
      </c>
      <c r="H79">
        <v>5300</v>
      </c>
      <c r="I79" s="63">
        <v>1203300</v>
      </c>
      <c r="J79" s="63">
        <f t="shared" si="5"/>
        <v>12300</v>
      </c>
      <c r="K79" s="63">
        <v>1215600</v>
      </c>
      <c r="L79" s="63"/>
    </row>
    <row r="80" spans="1:12">
      <c r="A80">
        <v>97</v>
      </c>
      <c r="B80" s="63">
        <f t="shared" si="3"/>
        <v>1290500</v>
      </c>
      <c r="C80" s="63">
        <v>31000</v>
      </c>
      <c r="D80" s="63">
        <v>1259500</v>
      </c>
      <c r="E80" s="63">
        <v>1238400</v>
      </c>
      <c r="F80" s="63">
        <f t="shared" si="4"/>
        <v>21100</v>
      </c>
      <c r="G80" s="63">
        <v>1220500</v>
      </c>
      <c r="H80">
        <v>5400</v>
      </c>
      <c r="I80" s="63">
        <v>1225900</v>
      </c>
      <c r="J80" s="63">
        <f t="shared" si="5"/>
        <v>12500</v>
      </c>
      <c r="K80" s="63">
        <v>1238400</v>
      </c>
      <c r="L80" s="63"/>
    </row>
    <row r="81" spans="1:12">
      <c r="A81">
        <v>98</v>
      </c>
      <c r="B81" s="63">
        <f t="shared" si="3"/>
        <v>1313600</v>
      </c>
      <c r="C81" s="63">
        <v>31000</v>
      </c>
      <c r="D81" s="63">
        <v>1282600</v>
      </c>
      <c r="E81" s="63">
        <v>1261200</v>
      </c>
      <c r="F81" s="63">
        <f t="shared" si="4"/>
        <v>21400</v>
      </c>
      <c r="G81" s="63">
        <v>1243000</v>
      </c>
      <c r="H81">
        <v>5500</v>
      </c>
      <c r="I81" s="63">
        <v>1248500</v>
      </c>
      <c r="J81" s="63">
        <f t="shared" si="5"/>
        <v>12700</v>
      </c>
      <c r="K81" s="63">
        <v>1261200</v>
      </c>
      <c r="L81" s="63"/>
    </row>
    <row r="82" spans="1:12">
      <c r="A82">
        <v>99</v>
      </c>
      <c r="B82" s="63">
        <f t="shared" si="3"/>
        <v>1335800</v>
      </c>
      <c r="C82" s="63">
        <v>31000</v>
      </c>
      <c r="D82" s="63">
        <v>1304800</v>
      </c>
      <c r="E82" s="63">
        <v>1283000</v>
      </c>
      <c r="F82" s="63">
        <f t="shared" si="4"/>
        <v>21800</v>
      </c>
      <c r="G82" s="63">
        <v>1264500</v>
      </c>
      <c r="H82">
        <v>5600</v>
      </c>
      <c r="I82" s="63">
        <v>1270100</v>
      </c>
      <c r="J82" s="63">
        <f t="shared" si="5"/>
        <v>12900</v>
      </c>
      <c r="K82" s="63">
        <v>1283000</v>
      </c>
      <c r="L82" s="63"/>
    </row>
    <row r="83" spans="1:12">
      <c r="A83">
        <v>100</v>
      </c>
      <c r="B83" s="63">
        <f t="shared" si="3"/>
        <v>1357900</v>
      </c>
      <c r="C83" s="63">
        <v>31000</v>
      </c>
      <c r="D83" s="63">
        <v>1326900</v>
      </c>
      <c r="E83" s="63">
        <v>1304700</v>
      </c>
      <c r="F83" s="63">
        <f t="shared" si="4"/>
        <v>22200</v>
      </c>
      <c r="G83" s="63">
        <v>1285900</v>
      </c>
      <c r="H83">
        <v>5700</v>
      </c>
      <c r="I83" s="63">
        <v>1291600</v>
      </c>
      <c r="J83" s="63">
        <f t="shared" si="5"/>
        <v>13100</v>
      </c>
      <c r="K83" s="63">
        <v>1304700</v>
      </c>
      <c r="L83" s="63"/>
    </row>
    <row r="84" spans="1:12">
      <c r="A84">
        <v>101</v>
      </c>
      <c r="B84" s="63">
        <f t="shared" si="3"/>
        <v>1380100</v>
      </c>
      <c r="C84" s="63">
        <v>31000</v>
      </c>
      <c r="D84" s="63">
        <v>1349100</v>
      </c>
      <c r="E84" s="63">
        <v>1326500</v>
      </c>
      <c r="F84" s="63">
        <f t="shared" si="4"/>
        <v>22600</v>
      </c>
      <c r="G84" s="63">
        <v>1307400</v>
      </c>
      <c r="H84">
        <v>5800</v>
      </c>
      <c r="I84" s="63">
        <v>1313200</v>
      </c>
      <c r="J84" s="63">
        <f t="shared" si="5"/>
        <v>13300</v>
      </c>
      <c r="K84" s="63">
        <v>1326500</v>
      </c>
      <c r="L84" s="63"/>
    </row>
  </sheetData>
  <sheetProtection algorithmName="SHA-512" hashValue="6aEoLrSm2Oo7wG/ozI51mDiRlOe6Sv0ND53KjuWe+s6H/A0hmjpPFgBFfDEUcdUiIrAtdjU3skTxGLGS3kvm1A==" saltValue="lXG3Xygpks+ONuRvXMedkA==" spinCount="100000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272A0742513944956F084EE0677538" ma:contentTypeVersion="11" ma:contentTypeDescription="Opprett et nytt dokument." ma:contentTypeScope="" ma:versionID="4303eb425049c5c011af6cd5c2514e8d">
  <xsd:schema xmlns:xsd="http://www.w3.org/2001/XMLSchema" xmlns:xs="http://www.w3.org/2001/XMLSchema" xmlns:p="http://schemas.microsoft.com/office/2006/metadata/properties" xmlns:ns2="2781fc5c-21f9-41a6-b99c-0a588f4f5710" xmlns:ns3="a2fbc87e-e328-490a-9672-ba2d3d9e95f8" targetNamespace="http://schemas.microsoft.com/office/2006/metadata/properties" ma:root="true" ma:fieldsID="3c95dc4eb1af9bbe514a0022271ab1eb" ns2:_="" ns3:_="">
    <xsd:import namespace="2781fc5c-21f9-41a6-b99c-0a588f4f5710"/>
    <xsd:import namespace="a2fbc87e-e328-490a-9672-ba2d3d9e95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_Flow_Signoff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81fc5c-21f9-41a6-b99c-0a588f4f57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_Flow_SignoffStatus" ma:index="16" nillable="true" ma:displayName="Godkjenningsstatus" ma:internalName="Godkjennings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fbc87e-e328-490a-9672-ba2d3d9e95f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EA38A1-B91F-4107-AB93-85E10EE771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81fc5c-21f9-41a6-b99c-0a588f4f5710"/>
    <ds:schemaRef ds:uri="a2fbc87e-e328-490a-9672-ba2d3d9e95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057D20-B631-4F50-ACB9-134EE45E6E9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C35722-4403-477E-A6F6-EBBE9DF1ED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ATF-kalkulator</vt:lpstr>
      <vt:lpstr>A-tabell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Elektronisk Hjelpeverktøy</dc:title>
  <dc:creator>Skoglund, Wenche</dc:creator>
  <cp:lastModifiedBy>Magnus Strømsvåg</cp:lastModifiedBy>
  <cp:lastPrinted>2015-02-09T11:14:46Z</cp:lastPrinted>
  <dcterms:created xsi:type="dcterms:W3CDTF">2007-03-16T09:00:34Z</dcterms:created>
  <dcterms:modified xsi:type="dcterms:W3CDTF">2023-05-26T07:05:23Z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000000 - X-files for FLA - Under oppdatering.xls</vt:lpwstr>
  </property>
  <property fmtid="{D5CDD505-2E9C-101B-9397-08002B2CF9AE}" pid="3" name="IntranetMMSikkerhet">
    <vt:lpwstr>1;#Ugradert|d00673f2-4025-410d-80f3-e4b359da56af</vt:lpwstr>
  </property>
  <property fmtid="{D5CDD505-2E9C-101B-9397-08002B2CF9AE}" pid="4" name="IntranetMMSikkerhetNoteField">
    <vt:lpwstr>Ugradert|d00673f2-4025-410d-80f3-e4b359da56af</vt:lpwstr>
  </property>
  <property fmtid="{D5CDD505-2E9C-101B-9397-08002B2CF9AE}" pid="5" name="TaxCatchAll">
    <vt:lpwstr>1;#Ugradert|d00673f2-4025-410d-80f3-e4b359da56af</vt:lpwstr>
  </property>
  <property fmtid="{D5CDD505-2E9C-101B-9397-08002B2CF9AE}" pid="6" name="PublishingExpirationDate">
    <vt:lpwstr/>
  </property>
  <property fmtid="{D5CDD505-2E9C-101B-9397-08002B2CF9AE}" pid="7" name="PublishingStartDate">
    <vt:lpwstr/>
  </property>
</Properties>
</file>